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iness\LCS\Budget\21-22 Budget\General Fund\"/>
    </mc:Choice>
  </mc:AlternateContent>
  <xr:revisionPtr revIDLastSave="0" documentId="13_ncr:1_{A10A77A5-DEC4-4602-A4F5-A102D6AE6A2A}" xr6:coauthVersionLast="36" xr6:coauthVersionMax="36" xr10:uidLastSave="{00000000-0000-0000-0000-000000000000}"/>
  <bookViews>
    <workbookView xWindow="0" yWindow="0" windowWidth="20490" windowHeight="7620" firstSheet="1" activeTab="4" xr2:uid="{00000000-000D-0000-FFFF-FFFF00000000}"/>
  </bookViews>
  <sheets>
    <sheet name="Assumptions Page " sheetId="6" state="hidden" r:id="rId1"/>
    <sheet name="COVERSHEET" sheetId="16" r:id="rId2"/>
    <sheet name="RESOLUTION 6-2022" sheetId="5" r:id="rId3"/>
    <sheet name="Resolution" sheetId="14" state="hidden" r:id="rId4"/>
    <sheet name="Summary" sheetId="9" r:id="rId5"/>
    <sheet name="REVENUE" sheetId="4" r:id="rId6"/>
    <sheet name="EXPENSE" sheetId="1" r:id="rId7"/>
    <sheet name="State Aid Calculation" sheetId="17" r:id="rId8"/>
    <sheet name="New Calcuator" sheetId="18" r:id="rId9"/>
    <sheet name="Sheet1" sheetId="15" state="hidden" r:id="rId10"/>
    <sheet name="Items Needed" sheetId="10" state="hidden" r:id="rId11"/>
    <sheet name="Worksheet" sheetId="11" state="hidden" r:id="rId12"/>
    <sheet name="State Aid Proposals" sheetId="12" state="hidden" r:id="rId13"/>
  </sheets>
  <definedNames>
    <definedName name="_xlnm.Print_Area" localSheetId="1">COVERSHEET!$A$1:$I$21</definedName>
    <definedName name="_xlnm.Print_Area" localSheetId="6">EXPENSE!$A$1:$N$608</definedName>
    <definedName name="_xlnm.Print_Area" localSheetId="5">REVENUE!$A$1:$K$129</definedName>
    <definedName name="_xlnm.Print_Area" localSheetId="4">Summary!$A$1:$N$100</definedName>
  </definedNames>
  <calcPr calcId="191029"/>
</workbook>
</file>

<file path=xl/calcChain.xml><?xml version="1.0" encoding="utf-8"?>
<calcChain xmlns="http://schemas.openxmlformats.org/spreadsheetml/2006/main">
  <c r="I6" i="18" l="1"/>
  <c r="I11" i="18" l="1"/>
  <c r="L510" i="1" l="1"/>
  <c r="L505" i="1"/>
  <c r="L500" i="1"/>
  <c r="M183" i="1" l="1"/>
  <c r="L55" i="1"/>
  <c r="M25" i="1" l="1"/>
  <c r="L336" i="1"/>
  <c r="L330" i="1"/>
  <c r="L283" i="1"/>
  <c r="L237" i="1"/>
  <c r="L176" i="1"/>
  <c r="L175" i="1"/>
  <c r="L150" i="1"/>
  <c r="L124" i="1"/>
  <c r="L105" i="1"/>
  <c r="L104" i="1"/>
  <c r="L103" i="1"/>
  <c r="L58" i="1"/>
  <c r="L16" i="1"/>
  <c r="K54" i="4"/>
  <c r="K51" i="4"/>
  <c r="M286" i="1" l="1"/>
  <c r="M287" i="1"/>
  <c r="M9" i="9" l="1"/>
  <c r="M316" i="1" l="1"/>
  <c r="M78" i="1"/>
  <c r="M67" i="1"/>
  <c r="M47" i="1"/>
  <c r="L13" i="1" l="1"/>
  <c r="L238" i="1" l="1"/>
  <c r="M235" i="1"/>
  <c r="J75" i="4" l="1"/>
  <c r="L309" i="1" l="1"/>
  <c r="K379" i="1" l="1"/>
  <c r="K381" i="1"/>
  <c r="K382" i="1"/>
  <c r="L382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125" i="4" l="1"/>
  <c r="K124" i="4"/>
  <c r="K123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2" i="4"/>
  <c r="K91" i="4"/>
  <c r="K90" i="4"/>
  <c r="K89" i="4"/>
  <c r="K88" i="4"/>
  <c r="K87" i="4"/>
  <c r="K86" i="4"/>
  <c r="K85" i="4"/>
  <c r="K83" i="4"/>
  <c r="K82" i="4"/>
  <c r="K81" i="4"/>
  <c r="K80" i="4"/>
  <c r="K79" i="4"/>
  <c r="K78" i="4"/>
  <c r="K77" i="4"/>
  <c r="K76" i="4"/>
  <c r="K75" i="4"/>
  <c r="K73" i="4"/>
  <c r="K72" i="4"/>
  <c r="K71" i="4"/>
  <c r="K70" i="4"/>
  <c r="K69" i="4"/>
  <c r="K68" i="4"/>
  <c r="K67" i="4"/>
  <c r="K60" i="4"/>
  <c r="K52" i="4"/>
  <c r="K56" i="4"/>
  <c r="K55" i="4"/>
  <c r="K53" i="4"/>
  <c r="K50" i="4"/>
  <c r="K49" i="4"/>
  <c r="K48" i="4"/>
  <c r="K44" i="4"/>
  <c r="K43" i="4"/>
  <c r="K42" i="4"/>
  <c r="K41" i="4"/>
  <c r="K40" i="4"/>
  <c r="K39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0" i="4"/>
  <c r="K13" i="4"/>
  <c r="K10" i="4"/>
  <c r="F608" i="1" l="1"/>
  <c r="H608" i="1"/>
  <c r="K608" i="1"/>
  <c r="I327" i="1"/>
  <c r="G327" i="1"/>
  <c r="E327" i="1"/>
  <c r="D327" i="1"/>
  <c r="C327" i="1"/>
  <c r="M325" i="1"/>
  <c r="M324" i="1"/>
  <c r="L327" i="1"/>
  <c r="J327" i="1"/>
  <c r="M323" i="1"/>
  <c r="M314" i="1"/>
  <c r="M315" i="1"/>
  <c r="M269" i="1"/>
  <c r="M270" i="1"/>
  <c r="M271" i="1"/>
  <c r="M267" i="1"/>
  <c r="M197" i="1"/>
  <c r="M198" i="1"/>
  <c r="M182" i="1"/>
  <c r="M14" i="1"/>
  <c r="B622" i="1" l="1"/>
  <c r="C39" i="5" s="1"/>
  <c r="L28" i="9"/>
  <c r="M28" i="9" s="1"/>
  <c r="M327" i="1"/>
  <c r="J74" i="4" l="1"/>
  <c r="J15" i="4" l="1"/>
  <c r="K15" i="4" s="1"/>
  <c r="K16" i="4"/>
  <c r="J17" i="4"/>
  <c r="K17" i="4" s="1"/>
  <c r="J12" i="4"/>
  <c r="K12" i="4" s="1"/>
  <c r="J14" i="4"/>
  <c r="K14" i="4" s="1"/>
  <c r="J11" i="4"/>
  <c r="K11" i="4" s="1"/>
  <c r="C23" i="5" l="1"/>
  <c r="M341" i="1" l="1"/>
  <c r="M342" i="1"/>
  <c r="M343" i="1"/>
  <c r="M344" i="1"/>
  <c r="M345" i="1"/>
  <c r="L310" i="1"/>
  <c r="M307" i="1"/>
  <c r="M306" i="1"/>
  <c r="L420" i="1"/>
  <c r="G499" i="1" l="1"/>
  <c r="G500" i="1"/>
  <c r="G498" i="1"/>
  <c r="G509" i="1"/>
  <c r="G510" i="1"/>
  <c r="E521" i="1"/>
  <c r="H65" i="9"/>
  <c r="J65" i="9"/>
  <c r="L65" i="9"/>
  <c r="G606" i="1"/>
  <c r="G65" i="9" s="1"/>
  <c r="L606" i="1"/>
  <c r="J606" i="1"/>
  <c r="I606" i="1"/>
  <c r="E606" i="1"/>
  <c r="D606" i="1"/>
  <c r="C606" i="1"/>
  <c r="M604" i="1"/>
  <c r="M606" i="1" s="1"/>
  <c r="G456" i="1"/>
  <c r="G467" i="1"/>
  <c r="G461" i="1"/>
  <c r="G460" i="1"/>
  <c r="G459" i="1"/>
  <c r="G457" i="1"/>
  <c r="G455" i="1"/>
  <c r="G435" i="1"/>
  <c r="G433" i="1"/>
  <c r="G427" i="1"/>
  <c r="G425" i="1"/>
  <c r="G424" i="1"/>
  <c r="G423" i="1"/>
  <c r="G421" i="1"/>
  <c r="G420" i="1"/>
  <c r="G419" i="1"/>
  <c r="G418" i="1"/>
  <c r="G438" i="1"/>
  <c r="G472" i="1"/>
  <c r="G446" i="1"/>
  <c r="G426" i="1"/>
  <c r="G575" i="1"/>
  <c r="G407" i="1"/>
  <c r="G406" i="1"/>
  <c r="G487" i="1"/>
  <c r="G489" i="1"/>
  <c r="G486" i="1"/>
  <c r="G504" i="1"/>
  <c r="M65" i="9" l="1"/>
  <c r="L339" i="1"/>
  <c r="M339" i="1" s="1"/>
  <c r="L340" i="1"/>
  <c r="M340" i="1" s="1"/>
  <c r="M297" i="1"/>
  <c r="G284" i="1"/>
  <c r="G283" i="1"/>
  <c r="G238" i="1" l="1"/>
  <c r="G237" i="1"/>
  <c r="G204" i="1"/>
  <c r="G163" i="1" l="1"/>
  <c r="G115" i="1"/>
  <c r="G59" i="1"/>
  <c r="G58" i="1"/>
  <c r="G37" i="1"/>
  <c r="G36" i="1"/>
  <c r="G16" i="1"/>
  <c r="G17" i="1"/>
  <c r="F94" i="4" l="1"/>
  <c r="L7" i="1"/>
  <c r="H52" i="18"/>
  <c r="E20" i="18"/>
  <c r="E19" i="18"/>
  <c r="I15" i="18"/>
  <c r="H61" i="18"/>
  <c r="H64" i="18" l="1"/>
  <c r="I5" i="18"/>
  <c r="E21" i="18"/>
  <c r="E23" i="18" l="1"/>
  <c r="E59" i="18" s="1"/>
  <c r="H59" i="18" s="1"/>
  <c r="E24" i="18"/>
  <c r="G28" i="18" s="1"/>
  <c r="H28" i="18" s="1"/>
  <c r="I7" i="4"/>
  <c r="J7" i="4"/>
  <c r="J95" i="4" s="1"/>
  <c r="M562" i="1"/>
  <c r="M575" i="1"/>
  <c r="M551" i="1"/>
  <c r="L525" i="1"/>
  <c r="P525" i="1" s="1"/>
  <c r="M600" i="1"/>
  <c r="M596" i="1"/>
  <c r="M592" i="1"/>
  <c r="M588" i="1"/>
  <c r="M584" i="1"/>
  <c r="M580" i="1"/>
  <c r="M576" i="1"/>
  <c r="M571" i="1"/>
  <c r="M567" i="1"/>
  <c r="M566" i="1"/>
  <c r="M561" i="1"/>
  <c r="M560" i="1"/>
  <c r="M559" i="1"/>
  <c r="M558" i="1"/>
  <c r="M557" i="1"/>
  <c r="M556" i="1"/>
  <c r="M552" i="1"/>
  <c r="M550" i="1"/>
  <c r="M549" i="1"/>
  <c r="M548" i="1"/>
  <c r="M547" i="1"/>
  <c r="M546" i="1"/>
  <c r="M538" i="1"/>
  <c r="M534" i="1"/>
  <c r="M533" i="1"/>
  <c r="M532" i="1"/>
  <c r="M531" i="1"/>
  <c r="M527" i="1"/>
  <c r="M523" i="1"/>
  <c r="M522" i="1"/>
  <c r="M521" i="1"/>
  <c r="M516" i="1"/>
  <c r="M515" i="1"/>
  <c r="M514" i="1"/>
  <c r="M509" i="1"/>
  <c r="M504" i="1"/>
  <c r="M499" i="1"/>
  <c r="M498" i="1"/>
  <c r="M494" i="1"/>
  <c r="M493" i="1"/>
  <c r="M489" i="1"/>
  <c r="M487" i="1"/>
  <c r="M486" i="1"/>
  <c r="M488" i="1"/>
  <c r="M485" i="1"/>
  <c r="M484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1" i="1"/>
  <c r="M458" i="1"/>
  <c r="M454" i="1"/>
  <c r="M453" i="1"/>
  <c r="M452" i="1"/>
  <c r="M451" i="1"/>
  <c r="M450" i="1"/>
  <c r="M449" i="1"/>
  <c r="M448" i="1"/>
  <c r="M447" i="1"/>
  <c r="M445" i="1"/>
  <c r="M444" i="1"/>
  <c r="M443" i="1"/>
  <c r="M442" i="1"/>
  <c r="M441" i="1"/>
  <c r="M440" i="1"/>
  <c r="M439" i="1"/>
  <c r="M438" i="1"/>
  <c r="M437" i="1"/>
  <c r="M435" i="1"/>
  <c r="M434" i="1"/>
  <c r="M432" i="1"/>
  <c r="M431" i="1"/>
  <c r="M430" i="1"/>
  <c r="M429" i="1"/>
  <c r="M428" i="1"/>
  <c r="M426" i="1"/>
  <c r="M425" i="1"/>
  <c r="M424" i="1"/>
  <c r="M423" i="1"/>
  <c r="M422" i="1"/>
  <c r="M421" i="1"/>
  <c r="M419" i="1"/>
  <c r="M418" i="1"/>
  <c r="M414" i="1"/>
  <c r="M413" i="1"/>
  <c r="M411" i="1"/>
  <c r="M409" i="1"/>
  <c r="M407" i="1"/>
  <c r="M406" i="1"/>
  <c r="M405" i="1"/>
  <c r="M404" i="1"/>
  <c r="M401" i="1"/>
  <c r="M400" i="1"/>
  <c r="M399" i="1"/>
  <c r="M398" i="1"/>
  <c r="M394" i="1"/>
  <c r="M393" i="1"/>
  <c r="M383" i="1"/>
  <c r="M380" i="1"/>
  <c r="M378" i="1"/>
  <c r="M376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6" i="1"/>
  <c r="M355" i="1"/>
  <c r="M354" i="1"/>
  <c r="M353" i="1"/>
  <c r="M352" i="1"/>
  <c r="M351" i="1"/>
  <c r="M350" i="1"/>
  <c r="M349" i="1"/>
  <c r="M348" i="1"/>
  <c r="M347" i="1"/>
  <c r="M346" i="1"/>
  <c r="M338" i="1"/>
  <c r="M335" i="1"/>
  <c r="M332" i="1"/>
  <c r="M329" i="1"/>
  <c r="M320" i="1"/>
  <c r="M319" i="1"/>
  <c r="M318" i="1"/>
  <c r="M317" i="1"/>
  <c r="M313" i="1"/>
  <c r="M312" i="1"/>
  <c r="M311" i="1"/>
  <c r="M308" i="1"/>
  <c r="M305" i="1"/>
  <c r="M301" i="1"/>
  <c r="M300" i="1"/>
  <c r="M296" i="1"/>
  <c r="M294" i="1"/>
  <c r="M299" i="1"/>
  <c r="M298" i="1"/>
  <c r="M295" i="1"/>
  <c r="M293" i="1"/>
  <c r="M292" i="1"/>
  <c r="M291" i="1"/>
  <c r="M288" i="1"/>
  <c r="M290" i="1"/>
  <c r="M289" i="1"/>
  <c r="M285" i="1"/>
  <c r="M282" i="1"/>
  <c r="M281" i="1"/>
  <c r="M280" i="1"/>
  <c r="M279" i="1"/>
  <c r="M278" i="1"/>
  <c r="M277" i="1"/>
  <c r="M276" i="1"/>
  <c r="M275" i="1"/>
  <c r="M268" i="1"/>
  <c r="M266" i="1"/>
  <c r="M265" i="1"/>
  <c r="M264" i="1"/>
  <c r="M263" i="1"/>
  <c r="M262" i="1"/>
  <c r="M261" i="1"/>
  <c r="M260" i="1"/>
  <c r="M259" i="1"/>
  <c r="M258" i="1"/>
  <c r="M257" i="1"/>
  <c r="M255" i="1"/>
  <c r="M254" i="1"/>
  <c r="M253" i="1"/>
  <c r="M252" i="1"/>
  <c r="M251" i="1"/>
  <c r="M250" i="1"/>
  <c r="M248" i="1"/>
  <c r="M247" i="1"/>
  <c r="M246" i="1"/>
  <c r="M245" i="1"/>
  <c r="M244" i="1"/>
  <c r="M243" i="1"/>
  <c r="M242" i="1"/>
  <c r="M241" i="1"/>
  <c r="M240" i="1"/>
  <c r="M239" i="1"/>
  <c r="M236" i="1"/>
  <c r="M234" i="1"/>
  <c r="M233" i="1"/>
  <c r="M232" i="1"/>
  <c r="M228" i="1"/>
  <c r="M227" i="1"/>
  <c r="M226" i="1"/>
  <c r="M225" i="1"/>
  <c r="M224" i="1"/>
  <c r="M223" i="1"/>
  <c r="M222" i="1"/>
  <c r="M221" i="1"/>
  <c r="M217" i="1"/>
  <c r="M216" i="1"/>
  <c r="M215" i="1"/>
  <c r="M214" i="1"/>
  <c r="M213" i="1"/>
  <c r="M212" i="1"/>
  <c r="M211" i="1"/>
  <c r="M210" i="1"/>
  <c r="M208" i="1"/>
  <c r="M207" i="1"/>
  <c r="M206" i="1"/>
  <c r="M201" i="1"/>
  <c r="M200" i="1"/>
  <c r="M199" i="1"/>
  <c r="M196" i="1"/>
  <c r="M195" i="1"/>
  <c r="M194" i="1"/>
  <c r="M193" i="1"/>
  <c r="M192" i="1"/>
  <c r="M191" i="1"/>
  <c r="M190" i="1"/>
  <c r="M189" i="1"/>
  <c r="M188" i="1"/>
  <c r="M187" i="1"/>
  <c r="M186" i="1"/>
  <c r="M184" i="1"/>
  <c r="M180" i="1"/>
  <c r="M185" i="1"/>
  <c r="M181" i="1"/>
  <c r="M179" i="1"/>
  <c r="M174" i="1"/>
  <c r="M173" i="1"/>
  <c r="M172" i="1"/>
  <c r="M171" i="1"/>
  <c r="M170" i="1"/>
  <c r="M169" i="1"/>
  <c r="M167" i="1"/>
  <c r="M166" i="1"/>
  <c r="M161" i="1"/>
  <c r="M160" i="1"/>
  <c r="M159" i="1"/>
  <c r="M158" i="1"/>
  <c r="M157" i="1"/>
  <c r="M156" i="1"/>
  <c r="M155" i="1"/>
  <c r="M154" i="1"/>
  <c r="M153" i="1"/>
  <c r="M152" i="1"/>
  <c r="M149" i="1"/>
  <c r="M148" i="1"/>
  <c r="M147" i="1"/>
  <c r="M143" i="1"/>
  <c r="M142" i="1"/>
  <c r="M141" i="1"/>
  <c r="M140" i="1"/>
  <c r="M138" i="1"/>
  <c r="M137" i="1"/>
  <c r="M136" i="1"/>
  <c r="M135" i="1"/>
  <c r="M131" i="1"/>
  <c r="M127" i="1"/>
  <c r="M126" i="1"/>
  <c r="M123" i="1"/>
  <c r="M119" i="1"/>
  <c r="M118" i="1"/>
  <c r="M117" i="1"/>
  <c r="M116" i="1"/>
  <c r="M115" i="1"/>
  <c r="M114" i="1"/>
  <c r="M113" i="1"/>
  <c r="M112" i="1"/>
  <c r="M111" i="1"/>
  <c r="M110" i="1"/>
  <c r="M109" i="1"/>
  <c r="M102" i="1"/>
  <c r="M101" i="1"/>
  <c r="M100" i="1"/>
  <c r="M99" i="1"/>
  <c r="M98" i="1"/>
  <c r="M97" i="1"/>
  <c r="M96" i="1"/>
  <c r="M95" i="1"/>
  <c r="M94" i="1"/>
  <c r="M93" i="1"/>
  <c r="M92" i="1"/>
  <c r="M91" i="1"/>
  <c r="M87" i="1"/>
  <c r="M86" i="1"/>
  <c r="M85" i="1"/>
  <c r="M80" i="1"/>
  <c r="M79" i="1"/>
  <c r="M77" i="1"/>
  <c r="M76" i="1"/>
  <c r="M75" i="1"/>
  <c r="M74" i="1"/>
  <c r="M73" i="1"/>
  <c r="M72" i="1"/>
  <c r="M71" i="1"/>
  <c r="M70" i="1"/>
  <c r="M68" i="1"/>
  <c r="M66" i="1"/>
  <c r="M65" i="1"/>
  <c r="M64" i="1"/>
  <c r="M63" i="1"/>
  <c r="M62" i="1"/>
  <c r="M61" i="1"/>
  <c r="M60" i="1"/>
  <c r="M57" i="1"/>
  <c r="M56" i="1"/>
  <c r="M54" i="1"/>
  <c r="M53" i="1"/>
  <c r="M52" i="1"/>
  <c r="M51" i="1"/>
  <c r="M46" i="1"/>
  <c r="M45" i="1"/>
  <c r="M44" i="1"/>
  <c r="M43" i="1"/>
  <c r="M42" i="1"/>
  <c r="M41" i="1"/>
  <c r="M40" i="1"/>
  <c r="M39" i="1"/>
  <c r="M38" i="1"/>
  <c r="M35" i="1"/>
  <c r="M34" i="1"/>
  <c r="M33" i="1"/>
  <c r="M31" i="1"/>
  <c r="M30" i="1"/>
  <c r="M29" i="1"/>
  <c r="M24" i="1"/>
  <c r="M23" i="1"/>
  <c r="M22" i="1"/>
  <c r="M21" i="1"/>
  <c r="M20" i="1"/>
  <c r="M19" i="1"/>
  <c r="M18" i="1"/>
  <c r="M15" i="1"/>
  <c r="M13" i="1"/>
  <c r="M12" i="1"/>
  <c r="M11" i="1"/>
  <c r="M10" i="1"/>
  <c r="M9" i="1"/>
  <c r="L17" i="1"/>
  <c r="L27" i="1" s="1"/>
  <c r="L32" i="1"/>
  <c r="L36" i="1" s="1"/>
  <c r="L83" i="1"/>
  <c r="L89" i="1"/>
  <c r="L25" i="9" s="1"/>
  <c r="L106" i="1"/>
  <c r="L107" i="1"/>
  <c r="L108" i="1"/>
  <c r="L125" i="1"/>
  <c r="L133" i="1"/>
  <c r="L30" i="9" s="1"/>
  <c r="L145" i="1"/>
  <c r="L31" i="9" s="1"/>
  <c r="L151" i="1"/>
  <c r="L164" i="1"/>
  <c r="L178" i="1"/>
  <c r="L209" i="1"/>
  <c r="L219" i="1" s="1"/>
  <c r="L34" i="9" s="1"/>
  <c r="L230" i="1"/>
  <c r="L256" i="1"/>
  <c r="L284" i="1"/>
  <c r="L331" i="1"/>
  <c r="L333" i="1"/>
  <c r="L334" i="1"/>
  <c r="L337" i="1"/>
  <c r="L357" i="1"/>
  <c r="L396" i="1"/>
  <c r="L402" i="1"/>
  <c r="L403" i="1"/>
  <c r="L427" i="1"/>
  <c r="L433" i="1"/>
  <c r="L436" i="1"/>
  <c r="L446" i="1"/>
  <c r="L455" i="1"/>
  <c r="L456" i="1"/>
  <c r="L457" i="1"/>
  <c r="L459" i="1"/>
  <c r="L460" i="1"/>
  <c r="L462" i="1"/>
  <c r="L491" i="1"/>
  <c r="L496" i="1"/>
  <c r="L48" i="9" s="1"/>
  <c r="L518" i="1"/>
  <c r="L52" i="9" s="1"/>
  <c r="L519" i="1"/>
  <c r="L529" i="1"/>
  <c r="L54" i="9" s="1"/>
  <c r="L536" i="1"/>
  <c r="L55" i="9" s="1"/>
  <c r="L540" i="1"/>
  <c r="L38" i="9" s="1"/>
  <c r="L542" i="1"/>
  <c r="L569" i="1"/>
  <c r="L573" i="1"/>
  <c r="L60" i="9" s="1"/>
  <c r="L578" i="1"/>
  <c r="P578" i="1" s="1"/>
  <c r="L582" i="1"/>
  <c r="L45" i="9" s="1"/>
  <c r="L586" i="1"/>
  <c r="P586" i="1" s="1"/>
  <c r="L590" i="1"/>
  <c r="L61" i="9" s="1"/>
  <c r="L594" i="1"/>
  <c r="P594" i="1" s="1"/>
  <c r="L598" i="1"/>
  <c r="L63" i="9" s="1"/>
  <c r="L602" i="1"/>
  <c r="P602" i="1" s="1"/>
  <c r="K9" i="4"/>
  <c r="J127" i="4"/>
  <c r="L17" i="9" s="1"/>
  <c r="J121" i="4"/>
  <c r="L15" i="9" s="1"/>
  <c r="J62" i="4"/>
  <c r="J58" i="4"/>
  <c r="J46" i="4"/>
  <c r="L16" i="9" s="1"/>
  <c r="J37" i="4"/>
  <c r="J22" i="4"/>
  <c r="J18" i="4"/>
  <c r="J64" i="4" l="1"/>
  <c r="C19" i="5"/>
  <c r="L59" i="9"/>
  <c r="P569" i="1"/>
  <c r="C18" i="5"/>
  <c r="L512" i="1"/>
  <c r="L51" i="9" s="1"/>
  <c r="L381" i="1"/>
  <c r="L502" i="1"/>
  <c r="L49" i="9" s="1"/>
  <c r="L377" i="1"/>
  <c r="M505" i="1"/>
  <c r="L379" i="1"/>
  <c r="M510" i="1"/>
  <c r="L47" i="9"/>
  <c r="P491" i="1"/>
  <c r="L544" i="1"/>
  <c r="L39" i="9" s="1"/>
  <c r="L42" i="9"/>
  <c r="L35" i="9"/>
  <c r="B625" i="1"/>
  <c r="L13" i="9"/>
  <c r="C16" i="5" s="1"/>
  <c r="L64" i="9"/>
  <c r="L322" i="1"/>
  <c r="L129" i="1"/>
  <c r="L59" i="1"/>
  <c r="L82" i="1" s="1"/>
  <c r="L24" i="9" s="1"/>
  <c r="L53" i="9"/>
  <c r="L163" i="1"/>
  <c r="L62" i="9"/>
  <c r="L564" i="1"/>
  <c r="L177" i="1"/>
  <c r="L204" i="1" s="1"/>
  <c r="L121" i="1"/>
  <c r="L26" i="9" s="1"/>
  <c r="L46" i="9"/>
  <c r="L416" i="1"/>
  <c r="P416" i="1" s="1"/>
  <c r="L554" i="1"/>
  <c r="P554" i="1" s="1"/>
  <c r="M500" i="1"/>
  <c r="L507" i="1"/>
  <c r="L50" i="9" s="1"/>
  <c r="P573" i="1"/>
  <c r="P536" i="1"/>
  <c r="P598" i="1"/>
  <c r="P582" i="1"/>
  <c r="P540" i="1"/>
  <c r="L303" i="1"/>
  <c r="L37" i="1"/>
  <c r="P590" i="1"/>
  <c r="P529" i="1"/>
  <c r="L273" i="1"/>
  <c r="L482" i="1"/>
  <c r="L374" i="1"/>
  <c r="L40" i="9" s="1"/>
  <c r="L56" i="9"/>
  <c r="P544" i="1" l="1"/>
  <c r="L391" i="1"/>
  <c r="L41" i="9" s="1"/>
  <c r="P502" i="1"/>
  <c r="P512" i="1"/>
  <c r="L37" i="9"/>
  <c r="B627" i="1"/>
  <c r="L27" i="9"/>
  <c r="B628" i="1"/>
  <c r="L36" i="9"/>
  <c r="B626" i="1"/>
  <c r="L58" i="9"/>
  <c r="B629" i="1"/>
  <c r="L33" i="9"/>
  <c r="B624" i="1"/>
  <c r="L32" i="9"/>
  <c r="B623" i="1"/>
  <c r="L29" i="9"/>
  <c r="B621" i="1"/>
  <c r="L22" i="9"/>
  <c r="B620" i="1"/>
  <c r="L43" i="9"/>
  <c r="L44" i="9"/>
  <c r="P482" i="1"/>
  <c r="P564" i="1"/>
  <c r="L57" i="9"/>
  <c r="P507" i="1"/>
  <c r="L49" i="1"/>
  <c r="H7" i="1"/>
  <c r="H22" i="9"/>
  <c r="H23" i="9"/>
  <c r="H24" i="9"/>
  <c r="H25" i="9"/>
  <c r="H26" i="9"/>
  <c r="H27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7" i="9"/>
  <c r="H48" i="9"/>
  <c r="H49" i="9"/>
  <c r="H50" i="9"/>
  <c r="H51" i="9"/>
  <c r="H52" i="9"/>
  <c r="H53" i="9"/>
  <c r="H54" i="9"/>
  <c r="H55" i="9"/>
  <c r="H46" i="9"/>
  <c r="H56" i="9"/>
  <c r="H57" i="9"/>
  <c r="H60" i="9"/>
  <c r="H61" i="9"/>
  <c r="H62" i="9"/>
  <c r="H63" i="9"/>
  <c r="H64" i="9"/>
  <c r="H13" i="9"/>
  <c r="H14" i="9"/>
  <c r="H15" i="9"/>
  <c r="H16" i="9"/>
  <c r="H17" i="9"/>
  <c r="B631" i="1" l="1"/>
  <c r="L608" i="1"/>
  <c r="B619" i="1"/>
  <c r="P608" i="1"/>
  <c r="L23" i="9"/>
  <c r="H121" i="4"/>
  <c r="L68" i="9" l="1"/>
  <c r="K121" i="4"/>
  <c r="J103" i="1"/>
  <c r="M103" i="1" s="1"/>
  <c r="I104" i="1"/>
  <c r="J104" i="1"/>
  <c r="M104" i="1" s="1"/>
  <c r="I105" i="1"/>
  <c r="J105" i="1"/>
  <c r="M105" i="1" s="1"/>
  <c r="J106" i="1"/>
  <c r="M106" i="1" s="1"/>
  <c r="I107" i="1"/>
  <c r="J107" i="1"/>
  <c r="M107" i="1" s="1"/>
  <c r="I108" i="1"/>
  <c r="J108" i="1"/>
  <c r="M108" i="1" s="1"/>
  <c r="J168" i="1" l="1"/>
  <c r="M168" i="1" s="1"/>
  <c r="J388" i="1" l="1"/>
  <c r="M388" i="1" s="1"/>
  <c r="J387" i="1"/>
  <c r="M387" i="1" s="1"/>
  <c r="J569" i="1"/>
  <c r="J59" i="9" s="1"/>
  <c r="M59" i="9" s="1"/>
  <c r="I569" i="1"/>
  <c r="G569" i="1"/>
  <c r="E569" i="1"/>
  <c r="D569" i="1"/>
  <c r="C569" i="1"/>
  <c r="J564" i="1"/>
  <c r="I564" i="1"/>
  <c r="G564" i="1"/>
  <c r="E564" i="1"/>
  <c r="D564" i="1"/>
  <c r="C564" i="1"/>
  <c r="J58" i="9" l="1"/>
  <c r="M58" i="9" s="1"/>
  <c r="M569" i="1"/>
  <c r="M564" i="1"/>
  <c r="J15" i="9" l="1"/>
  <c r="M15" i="9" s="1"/>
  <c r="M7" i="1"/>
  <c r="J602" i="1"/>
  <c r="J598" i="1"/>
  <c r="J594" i="1"/>
  <c r="J590" i="1"/>
  <c r="J586" i="1"/>
  <c r="J582" i="1"/>
  <c r="J578" i="1"/>
  <c r="J573" i="1"/>
  <c r="J554" i="1"/>
  <c r="J542" i="1"/>
  <c r="M542" i="1" s="1"/>
  <c r="M544" i="1" s="1"/>
  <c r="J540" i="1"/>
  <c r="J536" i="1"/>
  <c r="J55" i="9" s="1"/>
  <c r="M55" i="9" s="1"/>
  <c r="J529" i="1"/>
  <c r="J525" i="1"/>
  <c r="J518" i="1"/>
  <c r="J52" i="9" s="1"/>
  <c r="M52" i="9" s="1"/>
  <c r="J512" i="1"/>
  <c r="J507" i="1"/>
  <c r="J502" i="1"/>
  <c r="J496" i="1"/>
  <c r="J48" i="9" s="1"/>
  <c r="M48" i="9" s="1"/>
  <c r="J491" i="1"/>
  <c r="J462" i="1"/>
  <c r="M462" i="1" s="1"/>
  <c r="J460" i="1"/>
  <c r="M460" i="1" s="1"/>
  <c r="J459" i="1"/>
  <c r="M459" i="1" s="1"/>
  <c r="J457" i="1"/>
  <c r="M457" i="1" s="1"/>
  <c r="J456" i="1"/>
  <c r="M456" i="1" s="1"/>
  <c r="J455" i="1"/>
  <c r="M455" i="1" s="1"/>
  <c r="J446" i="1"/>
  <c r="M446" i="1" s="1"/>
  <c r="J433" i="1"/>
  <c r="M433" i="1" s="1"/>
  <c r="J427" i="1"/>
  <c r="M427" i="1" s="1"/>
  <c r="J420" i="1"/>
  <c r="M420" i="1" s="1"/>
  <c r="J403" i="1"/>
  <c r="M403" i="1" s="1"/>
  <c r="J402" i="1"/>
  <c r="M402" i="1" s="1"/>
  <c r="J396" i="1"/>
  <c r="J42" i="9" s="1"/>
  <c r="M42" i="9" s="1"/>
  <c r="J389" i="1"/>
  <c r="M389" i="1" s="1"/>
  <c r="J386" i="1"/>
  <c r="M386" i="1" s="1"/>
  <c r="J385" i="1"/>
  <c r="M385" i="1" s="1"/>
  <c r="J384" i="1"/>
  <c r="M384" i="1" s="1"/>
  <c r="J382" i="1"/>
  <c r="M382" i="1" s="1"/>
  <c r="J381" i="1"/>
  <c r="M381" i="1" s="1"/>
  <c r="J379" i="1"/>
  <c r="M379" i="1" s="1"/>
  <c r="J377" i="1"/>
  <c r="M377" i="1" s="1"/>
  <c r="J337" i="1"/>
  <c r="M337" i="1" s="1"/>
  <c r="J336" i="1"/>
  <c r="M336" i="1" s="1"/>
  <c r="J334" i="1"/>
  <c r="M334" i="1" s="1"/>
  <c r="J333" i="1"/>
  <c r="M333" i="1" s="1"/>
  <c r="J331" i="1"/>
  <c r="M331" i="1" s="1"/>
  <c r="J330" i="1"/>
  <c r="M330" i="1" s="1"/>
  <c r="J310" i="1"/>
  <c r="M310" i="1" s="1"/>
  <c r="J309" i="1"/>
  <c r="M309" i="1" s="1"/>
  <c r="J238" i="1"/>
  <c r="M238" i="1" s="1"/>
  <c r="J237" i="1"/>
  <c r="M237" i="1" s="1"/>
  <c r="J230" i="1"/>
  <c r="J35" i="9" s="1"/>
  <c r="M35" i="9" s="1"/>
  <c r="J209" i="1"/>
  <c r="M209" i="1" s="1"/>
  <c r="J202" i="1"/>
  <c r="M202" i="1" s="1"/>
  <c r="J178" i="1"/>
  <c r="M178" i="1" s="1"/>
  <c r="J176" i="1"/>
  <c r="M176" i="1" s="1"/>
  <c r="J175" i="1"/>
  <c r="M175" i="1" s="1"/>
  <c r="J151" i="1"/>
  <c r="M151" i="1" s="1"/>
  <c r="J150" i="1"/>
  <c r="M150" i="1" s="1"/>
  <c r="J145" i="1"/>
  <c r="J31" i="9" s="1"/>
  <c r="M31" i="9" s="1"/>
  <c r="J133" i="1"/>
  <c r="J125" i="1"/>
  <c r="M125" i="1" s="1"/>
  <c r="J124" i="1"/>
  <c r="M124" i="1" s="1"/>
  <c r="J89" i="1"/>
  <c r="J25" i="9" s="1"/>
  <c r="M25" i="9" s="1"/>
  <c r="J69" i="1"/>
  <c r="M69" i="1" s="1"/>
  <c r="J55" i="1"/>
  <c r="M55" i="1" s="1"/>
  <c r="J32" i="1"/>
  <c r="M32" i="1" s="1"/>
  <c r="J17" i="1"/>
  <c r="M17" i="1" s="1"/>
  <c r="J16" i="1"/>
  <c r="M16" i="1" s="1"/>
  <c r="J7" i="1"/>
  <c r="J519" i="1" s="1"/>
  <c r="K7" i="4"/>
  <c r="L7" i="4"/>
  <c r="H127" i="4"/>
  <c r="J17" i="9" s="1"/>
  <c r="M17" i="9" s="1"/>
  <c r="H84" i="4"/>
  <c r="K84" i="4" s="1"/>
  <c r="H74" i="4"/>
  <c r="K74" i="4" s="1"/>
  <c r="H62" i="4"/>
  <c r="H58" i="4"/>
  <c r="H46" i="4"/>
  <c r="J16" i="9" s="1"/>
  <c r="M16" i="9" s="1"/>
  <c r="H37" i="4"/>
  <c r="H22" i="4"/>
  <c r="H18" i="4"/>
  <c r="H7" i="4"/>
  <c r="H95" i="4" s="1"/>
  <c r="J37" i="1" l="1"/>
  <c r="M37" i="1" s="1"/>
  <c r="J219" i="1"/>
  <c r="J544" i="1"/>
  <c r="J39" i="9" s="1"/>
  <c r="M39" i="9" s="1"/>
  <c r="J30" i="9"/>
  <c r="M30" i="9" s="1"/>
  <c r="J13" i="9"/>
  <c r="M13" i="9" s="1"/>
  <c r="J61" i="9"/>
  <c r="M61" i="9" s="1"/>
  <c r="J56" i="9"/>
  <c r="M56" i="9" s="1"/>
  <c r="J62" i="9"/>
  <c r="M62" i="9" s="1"/>
  <c r="J53" i="9"/>
  <c r="M53" i="9" s="1"/>
  <c r="J45" i="9"/>
  <c r="M45" i="9" s="1"/>
  <c r="J63" i="9"/>
  <c r="M63" i="9" s="1"/>
  <c r="J54" i="9"/>
  <c r="M54" i="9" s="1"/>
  <c r="J57" i="9"/>
  <c r="M57" i="9" s="1"/>
  <c r="J46" i="9"/>
  <c r="M46" i="9" s="1"/>
  <c r="J64" i="9"/>
  <c r="M64" i="9" s="1"/>
  <c r="J38" i="9"/>
  <c r="M38" i="9" s="1"/>
  <c r="J51" i="9"/>
  <c r="M51" i="9" s="1"/>
  <c r="J50" i="9"/>
  <c r="M50" i="9" s="1"/>
  <c r="J49" i="9"/>
  <c r="M49" i="9" s="1"/>
  <c r="J47" i="9"/>
  <c r="M47" i="9" s="1"/>
  <c r="J27" i="1"/>
  <c r="J59" i="1"/>
  <c r="M59" i="1" s="1"/>
  <c r="J416" i="1"/>
  <c r="J58" i="1"/>
  <c r="M58" i="1" s="1"/>
  <c r="J163" i="1"/>
  <c r="J177" i="1"/>
  <c r="M177" i="1" s="1"/>
  <c r="J322" i="1"/>
  <c r="J129" i="1"/>
  <c r="J29" i="9" s="1"/>
  <c r="M29" i="9" s="1"/>
  <c r="J60" i="9"/>
  <c r="M60" i="9" s="1"/>
  <c r="J391" i="1"/>
  <c r="J436" i="1"/>
  <c r="J482" i="1" s="1"/>
  <c r="J36" i="1"/>
  <c r="M36" i="1" s="1"/>
  <c r="J256" i="1"/>
  <c r="J273" i="1" s="1"/>
  <c r="J284" i="1"/>
  <c r="M284" i="1" s="1"/>
  <c r="J164" i="1"/>
  <c r="J283" i="1"/>
  <c r="M283" i="1" s="1"/>
  <c r="J357" i="1"/>
  <c r="J374" i="1" s="1"/>
  <c r="J83" i="1"/>
  <c r="I498" i="1"/>
  <c r="I487" i="1"/>
  <c r="J34" i="9" l="1"/>
  <c r="M34" i="9" s="1"/>
  <c r="J204" i="1"/>
  <c r="J33" i="9" s="1"/>
  <c r="M33" i="9" s="1"/>
  <c r="J40" i="9"/>
  <c r="M40" i="9" s="1"/>
  <c r="J27" i="9"/>
  <c r="M27" i="9" s="1"/>
  <c r="J36" i="9"/>
  <c r="M36" i="9" s="1"/>
  <c r="J32" i="9"/>
  <c r="M32" i="9" s="1"/>
  <c r="J22" i="9"/>
  <c r="M22" i="9" s="1"/>
  <c r="J41" i="9"/>
  <c r="M41" i="9" s="1"/>
  <c r="J43" i="9"/>
  <c r="M43" i="9" s="1"/>
  <c r="J44" i="9"/>
  <c r="M44" i="9" s="1"/>
  <c r="J82" i="1"/>
  <c r="J24" i="9" s="1"/>
  <c r="M24" i="9" s="1"/>
  <c r="J49" i="1"/>
  <c r="J23" i="9" s="1"/>
  <c r="M23" i="9" s="1"/>
  <c r="J303" i="1"/>
  <c r="J121" i="1"/>
  <c r="J608" i="1" l="1"/>
  <c r="J26" i="9"/>
  <c r="M26" i="9" s="1"/>
  <c r="J37" i="9"/>
  <c r="M37" i="9" s="1"/>
  <c r="J68" i="9" l="1"/>
  <c r="I427" i="1"/>
  <c r="I423" i="1"/>
  <c r="I276" i="1" l="1"/>
  <c r="I168" i="1" l="1"/>
  <c r="I15" i="1" l="1"/>
  <c r="E99" i="4" l="1"/>
  <c r="D99" i="4"/>
  <c r="E109" i="4"/>
  <c r="E106" i="4"/>
  <c r="E103" i="4" l="1"/>
  <c r="E121" i="4" s="1"/>
  <c r="D103" i="4"/>
  <c r="D121" i="4" s="1"/>
  <c r="I602" i="1" l="1"/>
  <c r="I598" i="1"/>
  <c r="I594" i="1"/>
  <c r="I590" i="1"/>
  <c r="I586" i="1"/>
  <c r="I582" i="1"/>
  <c r="I578" i="1"/>
  <c r="I573" i="1"/>
  <c r="I554" i="1"/>
  <c r="I542" i="1"/>
  <c r="I540" i="1"/>
  <c r="I536" i="1"/>
  <c r="I529" i="1"/>
  <c r="I525" i="1"/>
  <c r="I518" i="1"/>
  <c r="I512" i="1"/>
  <c r="I507" i="1"/>
  <c r="I502" i="1"/>
  <c r="I496" i="1"/>
  <c r="I486" i="1"/>
  <c r="I462" i="1"/>
  <c r="I460" i="1"/>
  <c r="I459" i="1"/>
  <c r="I457" i="1"/>
  <c r="I456" i="1"/>
  <c r="I455" i="1"/>
  <c r="I446" i="1"/>
  <c r="I433" i="1"/>
  <c r="I421" i="1"/>
  <c r="I420" i="1"/>
  <c r="I403" i="1"/>
  <c r="I402" i="1"/>
  <c r="I396" i="1"/>
  <c r="I389" i="1"/>
  <c r="I386" i="1"/>
  <c r="I385" i="1"/>
  <c r="I384" i="1"/>
  <c r="I382" i="1"/>
  <c r="I381" i="1"/>
  <c r="I379" i="1"/>
  <c r="I377" i="1"/>
  <c r="I337" i="1"/>
  <c r="I336" i="1"/>
  <c r="I334" i="1"/>
  <c r="I333" i="1"/>
  <c r="I331" i="1"/>
  <c r="I330" i="1"/>
  <c r="I310" i="1"/>
  <c r="I309" i="1"/>
  <c r="I284" i="1"/>
  <c r="I283" i="1"/>
  <c r="I238" i="1"/>
  <c r="I237" i="1"/>
  <c r="I230" i="1"/>
  <c r="I209" i="1"/>
  <c r="I202" i="1"/>
  <c r="I178" i="1"/>
  <c r="I177" i="1"/>
  <c r="I176" i="1"/>
  <c r="I175" i="1"/>
  <c r="I151" i="1"/>
  <c r="I150" i="1"/>
  <c r="I145" i="1"/>
  <c r="I133" i="1"/>
  <c r="I125" i="1"/>
  <c r="I124" i="1"/>
  <c r="I91" i="1"/>
  <c r="I89" i="1"/>
  <c r="I69" i="1"/>
  <c r="I55" i="1"/>
  <c r="I53" i="1"/>
  <c r="I32" i="1"/>
  <c r="I17" i="1"/>
  <c r="I16" i="1"/>
  <c r="I7" i="1"/>
  <c r="I357" i="1" s="1"/>
  <c r="D55" i="4"/>
  <c r="I103" i="1" l="1"/>
  <c r="I106" i="1"/>
  <c r="I544" i="1"/>
  <c r="I36" i="1"/>
  <c r="I491" i="1"/>
  <c r="I58" i="1"/>
  <c r="I37" i="1"/>
  <c r="I59" i="1"/>
  <c r="I129" i="1"/>
  <c r="I163" i="1"/>
  <c r="I219" i="1"/>
  <c r="I83" i="1"/>
  <c r="I322" i="1"/>
  <c r="I204" i="1"/>
  <c r="I303" i="1"/>
  <c r="I416" i="1"/>
  <c r="I27" i="1"/>
  <c r="I391" i="1"/>
  <c r="I256" i="1"/>
  <c r="I273" i="1" s="1"/>
  <c r="I436" i="1"/>
  <c r="I482" i="1" s="1"/>
  <c r="I519" i="1"/>
  <c r="I164" i="1"/>
  <c r="I374" i="1"/>
  <c r="I82" i="1" l="1"/>
  <c r="I49" i="1"/>
  <c r="I121" i="1"/>
  <c r="I608" i="1" l="1"/>
  <c r="D484" i="1"/>
  <c r="E424" i="1"/>
  <c r="E384" i="1"/>
  <c r="E378" i="1"/>
  <c r="F121" i="4" l="1"/>
  <c r="G602" i="1"/>
  <c r="E602" i="1"/>
  <c r="D602" i="1"/>
  <c r="C602" i="1"/>
  <c r="M602" i="1"/>
  <c r="G64" i="9" l="1"/>
  <c r="A2" i="1" l="1"/>
  <c r="A2" i="4"/>
  <c r="G573" i="1"/>
  <c r="E573" i="1"/>
  <c r="D573" i="1"/>
  <c r="C573" i="1"/>
  <c r="M573" i="1"/>
  <c r="G598" i="1"/>
  <c r="E598" i="1"/>
  <c r="D598" i="1"/>
  <c r="C598" i="1"/>
  <c r="M598" i="1"/>
  <c r="G594" i="1"/>
  <c r="E594" i="1"/>
  <c r="D594" i="1"/>
  <c r="C594" i="1"/>
  <c r="M594" i="1"/>
  <c r="G590" i="1"/>
  <c r="G61" i="9" s="1"/>
  <c r="E590" i="1"/>
  <c r="D590" i="1"/>
  <c r="C590" i="1"/>
  <c r="M590" i="1"/>
  <c r="G63" i="9" l="1"/>
  <c r="G60" i="9"/>
  <c r="G62" i="9"/>
  <c r="G578" i="1" l="1"/>
  <c r="E578" i="1"/>
  <c r="D578" i="1"/>
  <c r="C578" i="1"/>
  <c r="G56" i="9" l="1"/>
  <c r="M578" i="1"/>
  <c r="C519" i="1"/>
  <c r="C436" i="1"/>
  <c r="C357" i="1"/>
  <c r="C256" i="1"/>
  <c r="C164" i="1"/>
  <c r="C83" i="1"/>
  <c r="E505" i="1" l="1"/>
  <c r="E498" i="1"/>
  <c r="E509" i="1"/>
  <c r="E471" i="1"/>
  <c r="E469" i="1"/>
  <c r="E467" i="1"/>
  <c r="E465" i="1"/>
  <c r="E462" i="1"/>
  <c r="E460" i="1"/>
  <c r="E459" i="1"/>
  <c r="E457" i="1"/>
  <c r="E456" i="1"/>
  <c r="E455" i="1"/>
  <c r="E433" i="1"/>
  <c r="E429" i="1"/>
  <c r="E426" i="1"/>
  <c r="E425" i="1"/>
  <c r="E423" i="1"/>
  <c r="E419" i="1"/>
  <c r="E418" i="1"/>
  <c r="E474" i="1"/>
  <c r="E475" i="1"/>
  <c r="E442" i="1" l="1"/>
  <c r="E421" i="1"/>
  <c r="E489" i="1"/>
  <c r="D303" i="1"/>
  <c r="E303" i="1"/>
  <c r="E238" i="1"/>
  <c r="E237" i="1"/>
  <c r="E121" i="1"/>
  <c r="F26" i="9" s="1"/>
  <c r="D121" i="1"/>
  <c r="E59" i="1"/>
  <c r="E58" i="1"/>
  <c r="E37" i="1"/>
  <c r="E36" i="1"/>
  <c r="E17" i="1"/>
  <c r="E16" i="1"/>
  <c r="F37" i="9" l="1"/>
  <c r="D94" i="4"/>
  <c r="E94" i="4"/>
  <c r="E60" i="4" l="1"/>
  <c r="F62" i="4" l="1"/>
  <c r="F58" i="4"/>
  <c r="F46" i="4"/>
  <c r="F37" i="4"/>
  <c r="F22" i="4"/>
  <c r="F18" i="4"/>
  <c r="G13" i="9" s="1"/>
  <c r="G16" i="9" l="1"/>
  <c r="G89" i="1"/>
  <c r="G145" i="1"/>
  <c r="G209" i="1"/>
  <c r="G230" i="1"/>
  <c r="G396" i="1"/>
  <c r="G496" i="1"/>
  <c r="G48" i="9" s="1"/>
  <c r="G502" i="1"/>
  <c r="G507" i="1"/>
  <c r="G512" i="1"/>
  <c r="G518" i="1"/>
  <c r="G52" i="9" s="1"/>
  <c r="G525" i="1"/>
  <c r="G529" i="1"/>
  <c r="G536" i="1"/>
  <c r="G55" i="9" s="1"/>
  <c r="G540" i="1"/>
  <c r="G544" i="1"/>
  <c r="G554" i="1"/>
  <c r="G582" i="1"/>
  <c r="G586" i="1"/>
  <c r="F127" i="4"/>
  <c r="G17" i="9" s="1"/>
  <c r="G15" i="9" l="1"/>
  <c r="G57" i="9"/>
  <c r="G25" i="9"/>
  <c r="G35" i="9"/>
  <c r="G31" i="9"/>
  <c r="G42" i="9"/>
  <c r="G391" i="1"/>
  <c r="G41" i="9" s="1"/>
  <c r="G49" i="9"/>
  <c r="G416" i="1"/>
  <c r="G121" i="1"/>
  <c r="H65" i="18" s="1"/>
  <c r="H63" i="18" s="1"/>
  <c r="G129" i="1"/>
  <c r="G50" i="9"/>
  <c r="G322" i="1"/>
  <c r="G39" i="9"/>
  <c r="G53" i="9"/>
  <c r="G133" i="1"/>
  <c r="G45" i="9"/>
  <c r="G51" i="9"/>
  <c r="G54" i="9"/>
  <c r="G46" i="9"/>
  <c r="G38" i="9"/>
  <c r="G303" i="1"/>
  <c r="G219" i="1"/>
  <c r="G27" i="1"/>
  <c r="G7" i="1"/>
  <c r="F7" i="4"/>
  <c r="F95" i="4" s="1"/>
  <c r="H66" i="18" l="1"/>
  <c r="H29" i="18"/>
  <c r="J65" i="4" s="1"/>
  <c r="G29" i="9"/>
  <c r="G34" i="9"/>
  <c r="G33" i="9"/>
  <c r="G37" i="9"/>
  <c r="G30" i="9"/>
  <c r="G22" i="9"/>
  <c r="G32" i="9"/>
  <c r="G27" i="9"/>
  <c r="G26" i="9"/>
  <c r="G43" i="9"/>
  <c r="G436" i="1"/>
  <c r="G482" i="1" s="1"/>
  <c r="G491" i="1"/>
  <c r="G519" i="1"/>
  <c r="G256" i="1"/>
  <c r="G164" i="1"/>
  <c r="G83" i="1"/>
  <c r="G357" i="1"/>
  <c r="G374" i="1" s="1"/>
  <c r="G49" i="1"/>
  <c r="G82" i="1"/>
  <c r="G44" i="9" l="1"/>
  <c r="H30" i="18"/>
  <c r="J66" i="4" s="1"/>
  <c r="G23" i="9"/>
  <c r="G24" i="9"/>
  <c r="G40" i="9"/>
  <c r="G47" i="9"/>
  <c r="H45" i="18" l="1"/>
  <c r="H54" i="18" s="1"/>
  <c r="E554" i="1"/>
  <c r="D554" i="1"/>
  <c r="C554" i="1"/>
  <c r="M554" i="1"/>
  <c r="J94" i="4" l="1"/>
  <c r="J129" i="4" s="1"/>
  <c r="C133" i="1"/>
  <c r="D133" i="1"/>
  <c r="E133" i="1"/>
  <c r="F30" i="9" s="1"/>
  <c r="L14" i="9" l="1"/>
  <c r="M133" i="1"/>
  <c r="N133" i="1"/>
  <c r="L19" i="9" l="1"/>
  <c r="L70" i="9" s="1"/>
  <c r="L72" i="9" s="1"/>
  <c r="L74" i="9" s="1"/>
  <c r="C17" i="5"/>
  <c r="B45" i="17"/>
  <c r="B32" i="17"/>
  <c r="B33" i="17" s="1"/>
  <c r="B29" i="17"/>
  <c r="B15" i="17"/>
  <c r="B8" i="17"/>
  <c r="B41" i="17" s="1"/>
  <c r="B43" i="17" s="1"/>
  <c r="B5" i="17"/>
  <c r="B9" i="17" l="1"/>
  <c r="B23" i="17" s="1"/>
  <c r="B52" i="17" s="1"/>
  <c r="B19" i="17"/>
  <c r="B38" i="17" s="1"/>
  <c r="B40" i="17" s="1"/>
  <c r="B20" i="17"/>
  <c r="H64" i="4" l="1"/>
  <c r="K64" i="4" s="1"/>
  <c r="M391" i="1" l="1"/>
  <c r="M121" i="1" l="1"/>
  <c r="M68" i="9" l="1"/>
  <c r="K18" i="4"/>
  <c r="E586" i="1" l="1"/>
  <c r="D586" i="1"/>
  <c r="C586" i="1"/>
  <c r="M586" i="1"/>
  <c r="A5" i="1" l="1"/>
  <c r="A5" i="4"/>
  <c r="E145" i="1" l="1"/>
  <c r="F31" i="9" s="1"/>
  <c r="E525" i="1" l="1"/>
  <c r="F53" i="9" s="1"/>
  <c r="D525" i="1"/>
  <c r="D145" i="1"/>
  <c r="D498" i="1"/>
  <c r="D509" i="1"/>
  <c r="D475" i="1"/>
  <c r="D471" i="1"/>
  <c r="D474" i="1"/>
  <c r="D460" i="1"/>
  <c r="D459" i="1"/>
  <c r="D457" i="1"/>
  <c r="D456" i="1"/>
  <c r="D455" i="1"/>
  <c r="D461" i="1"/>
  <c r="D435" i="1"/>
  <c r="D428" i="1"/>
  <c r="D426" i="1"/>
  <c r="D425" i="1"/>
  <c r="D424" i="1"/>
  <c r="D423" i="1"/>
  <c r="D421" i="1"/>
  <c r="D419" i="1"/>
  <c r="D418" i="1"/>
  <c r="D469" i="1"/>
  <c r="D467" i="1"/>
  <c r="D465" i="1"/>
  <c r="C273" i="1" l="1"/>
  <c r="D238" i="1"/>
  <c r="D237" i="1"/>
  <c r="C204" i="1" l="1"/>
  <c r="D204" i="1"/>
  <c r="D391" i="1" l="1"/>
  <c r="C127" i="4" l="1"/>
  <c r="E127" i="4"/>
  <c r="K127" i="4"/>
  <c r="D127" i="4"/>
  <c r="D18" i="4"/>
  <c r="D37" i="4"/>
  <c r="E37" i="4"/>
  <c r="C37" i="4"/>
  <c r="E18" i="4"/>
  <c r="C18" i="4"/>
  <c r="M525" i="1" l="1"/>
  <c r="K58" i="4"/>
  <c r="K37" i="4" l="1"/>
  <c r="M145" i="1"/>
  <c r="D582" i="1" l="1"/>
  <c r="C582" i="1"/>
  <c r="E582" i="1"/>
  <c r="F45" i="9" s="1"/>
  <c r="M582" i="1" l="1"/>
  <c r="E7" i="1" l="1"/>
  <c r="E89" i="1"/>
  <c r="F25" i="9" s="1"/>
  <c r="E209" i="1"/>
  <c r="E230" i="1"/>
  <c r="F35" i="9" s="1"/>
  <c r="M303" i="1"/>
  <c r="E396" i="1"/>
  <c r="F42" i="9" s="1"/>
  <c r="E496" i="1"/>
  <c r="F48" i="9" s="1"/>
  <c r="E502" i="1"/>
  <c r="F49" i="9" s="1"/>
  <c r="E507" i="1"/>
  <c r="F50" i="9" s="1"/>
  <c r="E512" i="1"/>
  <c r="F51" i="9" s="1"/>
  <c r="E518" i="1"/>
  <c r="F52" i="9" s="1"/>
  <c r="E529" i="1"/>
  <c r="F54" i="9" s="1"/>
  <c r="E536" i="1"/>
  <c r="F55" i="9" s="1"/>
  <c r="E540" i="1"/>
  <c r="F38" i="9" s="1"/>
  <c r="E544" i="1"/>
  <c r="F39" i="9" s="1"/>
  <c r="E7" i="4"/>
  <c r="E95" i="4" s="1"/>
  <c r="E22" i="4"/>
  <c r="E46" i="4"/>
  <c r="F16" i="9" s="1"/>
  <c r="E58" i="4"/>
  <c r="E62" i="4"/>
  <c r="E436" i="1" l="1"/>
  <c r="E482" i="1" s="1"/>
  <c r="F44" i="9" s="1"/>
  <c r="E519" i="1"/>
  <c r="E256" i="1"/>
  <c r="E273" i="1" s="1"/>
  <c r="E83" i="1"/>
  <c r="E357" i="1"/>
  <c r="E491" i="1"/>
  <c r="F47" i="9" s="1"/>
  <c r="E164" i="1"/>
  <c r="F13" i="9"/>
  <c r="M273" i="1"/>
  <c r="E391" i="1"/>
  <c r="F41" i="9" s="1"/>
  <c r="E49" i="1"/>
  <c r="F23" i="9" s="1"/>
  <c r="E129" i="1"/>
  <c r="F29" i="9" s="1"/>
  <c r="E416" i="1"/>
  <c r="E163" i="1"/>
  <c r="F32" i="9" s="1"/>
  <c r="E82" i="1"/>
  <c r="F24" i="9" s="1"/>
  <c r="E322" i="1"/>
  <c r="F27" i="9" s="1"/>
  <c r="F15" i="9"/>
  <c r="E129" i="4"/>
  <c r="E219" i="1"/>
  <c r="F34" i="9" s="1"/>
  <c r="N204" i="1"/>
  <c r="C491" i="1"/>
  <c r="C482" i="1"/>
  <c r="C416" i="1"/>
  <c r="D416" i="1"/>
  <c r="C374" i="1"/>
  <c r="D322" i="1"/>
  <c r="C230" i="1"/>
  <c r="D230" i="1"/>
  <c r="C219" i="1"/>
  <c r="D219" i="1"/>
  <c r="C145" i="1"/>
  <c r="F36" i="9" l="1"/>
  <c r="F43" i="9"/>
  <c r="B30" i="17"/>
  <c r="B31" i="17" s="1"/>
  <c r="B34" i="17" s="1"/>
  <c r="B44" i="17"/>
  <c r="B46" i="17" s="1"/>
  <c r="B53" i="17" s="1"/>
  <c r="H65" i="4" s="1"/>
  <c r="K65" i="4" s="1"/>
  <c r="F14" i="9"/>
  <c r="E27" i="1"/>
  <c r="F22" i="9" l="1"/>
  <c r="B48" i="17"/>
  <c r="B50" i="17" s="1"/>
  <c r="B54" i="17" s="1"/>
  <c r="H66" i="4" s="1"/>
  <c r="K66" i="4" s="1"/>
  <c r="F19" i="9"/>
  <c r="E374" i="1"/>
  <c r="K94" i="4" l="1"/>
  <c r="H94" i="4"/>
  <c r="G14" i="9"/>
  <c r="F40" i="9"/>
  <c r="H129" i="4" l="1"/>
  <c r="J14" i="9"/>
  <c r="M14" i="9" s="1"/>
  <c r="F129" i="4"/>
  <c r="G19" i="9"/>
  <c r="P19" i="9" s="1"/>
  <c r="J19" i="9" l="1"/>
  <c r="J70" i="9" s="1"/>
  <c r="C121" i="4"/>
  <c r="D15" i="9" s="1"/>
  <c r="C94" i="4"/>
  <c r="C62" i="4"/>
  <c r="C58" i="4"/>
  <c r="C46" i="4"/>
  <c r="C22" i="4"/>
  <c r="D22" i="4"/>
  <c r="D544" i="1"/>
  <c r="E39" i="9" s="1"/>
  <c r="C544" i="1"/>
  <c r="D39" i="9" s="1"/>
  <c r="C129" i="4" l="1"/>
  <c r="D13" i="9"/>
  <c r="M230" i="1"/>
  <c r="D14" i="9"/>
  <c r="D16" i="9"/>
  <c r="C7" i="1"/>
  <c r="C7" i="4"/>
  <c r="C95" i="4" s="1"/>
  <c r="C536" i="1"/>
  <c r="D55" i="9" s="1"/>
  <c r="C529" i="1"/>
  <c r="D54" i="9" s="1"/>
  <c r="C525" i="1"/>
  <c r="D53" i="9" s="1"/>
  <c r="C518" i="1"/>
  <c r="D52" i="9" s="1"/>
  <c r="C512" i="1"/>
  <c r="D51" i="9" s="1"/>
  <c r="C507" i="1"/>
  <c r="D50" i="9" s="1"/>
  <c r="C502" i="1"/>
  <c r="D49" i="9" s="1"/>
  <c r="C496" i="1"/>
  <c r="D48" i="9" s="1"/>
  <c r="D47" i="9"/>
  <c r="D44" i="9"/>
  <c r="C121" i="1"/>
  <c r="D26" i="9" s="1"/>
  <c r="C396" i="1"/>
  <c r="D42" i="9" s="1"/>
  <c r="C391" i="1"/>
  <c r="D41" i="9" s="1"/>
  <c r="C89" i="1"/>
  <c r="D25" i="9" s="1"/>
  <c r="C322" i="1"/>
  <c r="D27" i="9" s="1"/>
  <c r="D40" i="9"/>
  <c r="C303" i="1"/>
  <c r="D37" i="9" s="1"/>
  <c r="C540" i="1"/>
  <c r="D38" i="9" s="1"/>
  <c r="D36" i="9"/>
  <c r="E35" i="9"/>
  <c r="D35" i="9"/>
  <c r="D34" i="9"/>
  <c r="D33" i="9"/>
  <c r="D163" i="1"/>
  <c r="E32" i="9" s="1"/>
  <c r="C163" i="1"/>
  <c r="D32" i="9" s="1"/>
  <c r="D31" i="9"/>
  <c r="C82" i="1"/>
  <c r="D24" i="9" s="1"/>
  <c r="C49" i="1"/>
  <c r="D23" i="9" s="1"/>
  <c r="C27" i="1"/>
  <c r="D43" i="9"/>
  <c r="C129" i="1"/>
  <c r="C608" i="1" l="1"/>
  <c r="D29" i="9"/>
  <c r="D22" i="9"/>
  <c r="D19" i="9"/>
  <c r="D68" i="9" l="1"/>
  <c r="D70" i="9" s="1"/>
  <c r="D72" i="9" s="1"/>
  <c r="D78" i="9" s="1"/>
  <c r="E33" i="9"/>
  <c r="D496" i="1"/>
  <c r="E48" i="9" s="1"/>
  <c r="M496" i="1" l="1"/>
  <c r="E9" i="9" l="1"/>
  <c r="D74" i="9"/>
  <c r="D518" i="1" l="1"/>
  <c r="E52" i="9" s="1"/>
  <c r="M518" i="1" l="1"/>
  <c r="D536" i="1" l="1"/>
  <c r="E55" i="9" s="1"/>
  <c r="D529" i="1"/>
  <c r="E54" i="9" s="1"/>
  <c r="E53" i="9"/>
  <c r="D512" i="1"/>
  <c r="E51" i="9" s="1"/>
  <c r="D507" i="1"/>
  <c r="E50" i="9" s="1"/>
  <c r="D502" i="1"/>
  <c r="E49" i="9" s="1"/>
  <c r="N491" i="1"/>
  <c r="E43" i="9"/>
  <c r="E41" i="9"/>
  <c r="E37" i="9"/>
  <c r="E34" i="9"/>
  <c r="E31" i="9"/>
  <c r="D129" i="1"/>
  <c r="E29" i="9" s="1"/>
  <c r="E27" i="9"/>
  <c r="E26" i="9"/>
  <c r="D82" i="1"/>
  <c r="E24" i="9" s="1"/>
  <c r="D49" i="1"/>
  <c r="E23" i="9" s="1"/>
  <c r="D27" i="1"/>
  <c r="D396" i="1"/>
  <c r="E42" i="9" s="1"/>
  <c r="D89" i="1"/>
  <c r="E25" i="9" s="1"/>
  <c r="M482" i="1"/>
  <c r="D46" i="4"/>
  <c r="E16" i="9" s="1"/>
  <c r="E14" i="9"/>
  <c r="A1" i="1"/>
  <c r="A1" i="4"/>
  <c r="M219" i="1" l="1"/>
  <c r="M322" i="1"/>
  <c r="E22" i="9"/>
  <c r="M491" i="1"/>
  <c r="M396" i="1"/>
  <c r="C45" i="5"/>
  <c r="M163" i="1"/>
  <c r="M416" i="1" l="1"/>
  <c r="M89" i="1" l="1"/>
  <c r="M512" i="1" l="1"/>
  <c r="M507" i="1" l="1"/>
  <c r="K46" i="4"/>
  <c r="M374" i="1" l="1"/>
  <c r="M502" i="1" l="1"/>
  <c r="D540" i="1" l="1"/>
  <c r="D7" i="1"/>
  <c r="D62" i="4"/>
  <c r="D58" i="4"/>
  <c r="D7" i="4"/>
  <c r="D95" i="4" s="1"/>
  <c r="D436" i="1" l="1"/>
  <c r="D482" i="1" s="1"/>
  <c r="E44" i="9" s="1"/>
  <c r="D519" i="1"/>
  <c r="D357" i="1"/>
  <c r="D374" i="1" s="1"/>
  <c r="D256" i="1"/>
  <c r="D273" i="1" s="1"/>
  <c r="D83" i="1"/>
  <c r="D491" i="1"/>
  <c r="D164" i="1"/>
  <c r="D129" i="4"/>
  <c r="E13" i="9"/>
  <c r="E15" i="9"/>
  <c r="E38" i="9"/>
  <c r="M82" i="1"/>
  <c r="D608" i="1" l="1"/>
  <c r="E47" i="9"/>
  <c r="E19" i="9"/>
  <c r="E40" i="9" l="1"/>
  <c r="E36" i="9"/>
  <c r="E68" i="9" l="1"/>
  <c r="E70" i="9" s="1"/>
  <c r="E72" i="9" s="1"/>
  <c r="F9" i="9" l="1"/>
  <c r="O23" i="12"/>
  <c r="O21" i="12"/>
  <c r="O19" i="12"/>
  <c r="Q17" i="12"/>
  <c r="O17" i="12"/>
  <c r="G13" i="12"/>
  <c r="C13" i="12"/>
  <c r="I23" i="12" s="1"/>
  <c r="H75" i="11"/>
  <c r="I72" i="11" s="1"/>
  <c r="D66" i="11"/>
  <c r="D57" i="11"/>
  <c r="D61" i="11" s="1"/>
  <c r="H54" i="11"/>
  <c r="I52" i="11" s="1"/>
  <c r="J52" i="11" s="1"/>
  <c r="D52" i="11"/>
  <c r="H44" i="11"/>
  <c r="D44" i="11"/>
  <c r="D35" i="11"/>
  <c r="D37" i="11" s="1"/>
  <c r="J29" i="11"/>
  <c r="J33" i="11" s="1"/>
  <c r="J35" i="11" s="1"/>
  <c r="D25" i="11"/>
  <c r="D28" i="11" s="1"/>
  <c r="B29" i="11" s="1"/>
  <c r="H21" i="11"/>
  <c r="D18" i="11"/>
  <c r="D21" i="11" s="1"/>
  <c r="B18" i="11"/>
  <c r="B21" i="11" s="1"/>
  <c r="H13" i="11"/>
  <c r="D13" i="11"/>
  <c r="J42" i="14"/>
  <c r="N618" i="1"/>
  <c r="M529" i="1"/>
  <c r="M540" i="1"/>
  <c r="K62" i="4"/>
  <c r="J25" i="14"/>
  <c r="J21" i="14"/>
  <c r="J19" i="14"/>
  <c r="J18" i="14"/>
  <c r="J17" i="14"/>
  <c r="J23" i="14" s="1"/>
  <c r="J27" i="14" s="1"/>
  <c r="C49" i="5"/>
  <c r="C48" i="5"/>
  <c r="C21" i="5" l="1"/>
  <c r="C43" i="5"/>
  <c r="I59" i="11"/>
  <c r="I56" i="11"/>
  <c r="I73" i="11"/>
  <c r="I17" i="12"/>
  <c r="I21" i="12"/>
  <c r="I58" i="11"/>
  <c r="D68" i="11"/>
  <c r="D70" i="11" s="1"/>
  <c r="I62" i="11"/>
  <c r="I48" i="11"/>
  <c r="J48" i="11" s="1"/>
  <c r="I63" i="11"/>
  <c r="I69" i="11"/>
  <c r="P21" i="12"/>
  <c r="Q21" i="12" s="1"/>
  <c r="J31" i="11"/>
  <c r="I60" i="11"/>
  <c r="I64" i="11"/>
  <c r="I67" i="11"/>
  <c r="I71" i="11"/>
  <c r="I50" i="11"/>
  <c r="J50" i="11" s="1"/>
  <c r="I66" i="11"/>
  <c r="I70" i="11"/>
  <c r="I57" i="11"/>
  <c r="I61" i="11"/>
  <c r="I65" i="11"/>
  <c r="I68" i="11"/>
  <c r="P19" i="12"/>
  <c r="Q19" i="12" s="1"/>
  <c r="C46" i="5"/>
  <c r="M536" i="1"/>
  <c r="I40" i="11"/>
  <c r="J40" i="11" s="1"/>
  <c r="I41" i="11"/>
  <c r="J41" i="11" s="1"/>
  <c r="I39" i="11"/>
  <c r="J39" i="11" s="1"/>
  <c r="J23" i="12"/>
  <c r="K23" i="12" s="1"/>
  <c r="J19" i="12"/>
  <c r="J21" i="12"/>
  <c r="J17" i="12"/>
  <c r="P23" i="12"/>
  <c r="Q23" i="12" s="1"/>
  <c r="I47" i="11"/>
  <c r="J47" i="11" s="1"/>
  <c r="I49" i="11"/>
  <c r="J49" i="11" s="1"/>
  <c r="I19" i="12"/>
  <c r="K22" i="4"/>
  <c r="K129" i="4" s="1"/>
  <c r="B22" i="11"/>
  <c r="K19" i="12" l="1"/>
  <c r="K21" i="12"/>
  <c r="K17" i="12"/>
  <c r="J54" i="11"/>
  <c r="C42" i="5"/>
  <c r="J40" i="14"/>
  <c r="M27" i="1"/>
  <c r="M129" i="1"/>
  <c r="J35" i="14"/>
  <c r="J43" i="14"/>
  <c r="M49" i="1"/>
  <c r="C44" i="5"/>
  <c r="C37" i="5"/>
  <c r="J33" i="14"/>
  <c r="J44" i="11"/>
  <c r="M19" i="9" l="1"/>
  <c r="J36" i="14"/>
  <c r="J39" i="14"/>
  <c r="C38" i="5"/>
  <c r="J34" i="14"/>
  <c r="J41" i="14"/>
  <c r="C36" i="5"/>
  <c r="J37" i="14"/>
  <c r="C40" i="5"/>
  <c r="E74" i="9" l="1"/>
  <c r="E204" i="1"/>
  <c r="E608" i="1" s="1"/>
  <c r="F33" i="9" l="1"/>
  <c r="F68" i="9" s="1"/>
  <c r="F70" i="9" l="1"/>
  <c r="M204" i="1"/>
  <c r="M608" i="1" s="1"/>
  <c r="F72" i="9" l="1"/>
  <c r="F74" i="9" l="1"/>
  <c r="G9" i="9"/>
  <c r="J38" i="14"/>
  <c r="J46" i="14" s="1"/>
  <c r="J52" i="14" s="1"/>
  <c r="J54" i="14" s="1"/>
  <c r="C41" i="5"/>
  <c r="C50" i="5" s="1"/>
  <c r="B632" i="1"/>
  <c r="B634" i="1" s="1"/>
  <c r="J72" i="9" l="1"/>
  <c r="M70" i="9"/>
  <c r="J74" i="9" l="1"/>
  <c r="C27" i="5"/>
  <c r="C29" i="5" s="1"/>
  <c r="C52" i="5" s="1"/>
  <c r="M72" i="9"/>
  <c r="G273" i="1" l="1"/>
  <c r="G608" i="1" s="1"/>
  <c r="G36" i="9" l="1"/>
  <c r="G68" i="9" s="1"/>
  <c r="G70" i="9" s="1"/>
  <c r="G72" i="9" s="1"/>
  <c r="G74" i="9" l="1"/>
</calcChain>
</file>

<file path=xl/sharedStrings.xml><?xml version="1.0" encoding="utf-8"?>
<sst xmlns="http://schemas.openxmlformats.org/spreadsheetml/2006/main" count="1703" uniqueCount="1502">
  <si>
    <t>111</t>
  </si>
  <si>
    <t>Elementary</t>
  </si>
  <si>
    <t>271</t>
  </si>
  <si>
    <t>112</t>
  </si>
  <si>
    <t>Middle School</t>
  </si>
  <si>
    <t>113</t>
  </si>
  <si>
    <t>High School</t>
  </si>
  <si>
    <t>Computer Assisted Instruction</t>
  </si>
  <si>
    <t>Board of Education</t>
  </si>
  <si>
    <t>231</t>
  </si>
  <si>
    <t>232</t>
  </si>
  <si>
    <t>Superintendent</t>
  </si>
  <si>
    <t>Principal</t>
  </si>
  <si>
    <t>252</t>
  </si>
  <si>
    <t>Fiscal Services</t>
  </si>
  <si>
    <t>259</t>
  </si>
  <si>
    <t>Other Business Services</t>
  </si>
  <si>
    <t>261</t>
  </si>
  <si>
    <t>Operations - Building Services</t>
  </si>
  <si>
    <t>Pupil Transportation</t>
  </si>
  <si>
    <t>Athletics</t>
  </si>
  <si>
    <t>At Risk</t>
  </si>
  <si>
    <t>648</t>
  </si>
  <si>
    <t>REAP</t>
  </si>
  <si>
    <t xml:space="preserve"> </t>
  </si>
  <si>
    <t>DESCRIPTION</t>
  </si>
  <si>
    <t>ACCOUNT NUMBER</t>
  </si>
  <si>
    <t>Checking account Interest</t>
  </si>
  <si>
    <t>Miscellaneous</t>
  </si>
  <si>
    <t>REAP Grant</t>
  </si>
  <si>
    <t>Account Number</t>
  </si>
  <si>
    <t>General Fund - Revenue</t>
  </si>
  <si>
    <t>Account Description</t>
  </si>
  <si>
    <t>RESOLUTION FOR ADOPTION BY THE BOARD OF EDUCATION</t>
  </si>
  <si>
    <t>Schools.</t>
  </si>
  <si>
    <t>BE IT FURTHER RESOLVED, that the total revenues and unappropriated fund balance estimated</t>
  </si>
  <si>
    <t>REVENUE</t>
  </si>
  <si>
    <t>Local</t>
  </si>
  <si>
    <t>3XX</t>
  </si>
  <si>
    <t>State</t>
  </si>
  <si>
    <t>Federal</t>
  </si>
  <si>
    <t>Incoming Transfers/Other Transactions</t>
  </si>
  <si>
    <t>Total Revenue</t>
  </si>
  <si>
    <t>Less Non-Spendable</t>
  </si>
  <si>
    <t>Fund Balance Available to Appropriate</t>
  </si>
  <si>
    <t>Total Available to Appropriate</t>
  </si>
  <si>
    <t>general fund is hereby appropriated in the amounts and for the purposes set forth below:</t>
  </si>
  <si>
    <t>EXPENDITURES</t>
  </si>
  <si>
    <t>INSTRUCTION:</t>
  </si>
  <si>
    <t>11X</t>
  </si>
  <si>
    <t>Basic Programs</t>
  </si>
  <si>
    <t>12X</t>
  </si>
  <si>
    <t>Added Needs</t>
  </si>
  <si>
    <t>21X</t>
  </si>
  <si>
    <t>Pupil</t>
  </si>
  <si>
    <t>Instructional Staff</t>
  </si>
  <si>
    <t>23X</t>
  </si>
  <si>
    <t>General Administration</t>
  </si>
  <si>
    <t>24X</t>
  </si>
  <si>
    <t>School Administration</t>
  </si>
  <si>
    <t>25X</t>
  </si>
  <si>
    <t>Business</t>
  </si>
  <si>
    <t>26X</t>
  </si>
  <si>
    <t>Operations/Maintenance</t>
  </si>
  <si>
    <t>27X</t>
  </si>
  <si>
    <t>Transportation</t>
  </si>
  <si>
    <t>29X</t>
  </si>
  <si>
    <t>Athletic</t>
  </si>
  <si>
    <t>Community</t>
  </si>
  <si>
    <t>Outgoing Transfers/Other Transactions</t>
  </si>
  <si>
    <t>Total Appropriated</t>
  </si>
  <si>
    <t>Further Resolved, that no Board of Education member or employee of the school district shall</t>
  </si>
  <si>
    <t>expend any funds or obligate the expenditure of any funds except pursuant to appropriations</t>
  </si>
  <si>
    <t>made by the Board of Education and in keeping with the budgetary policy statement hitherto</t>
  </si>
  <si>
    <t>adopted by the Board.  Changes in the amount appropriated by the Board shall require approval</t>
  </si>
  <si>
    <t>of the Board.</t>
  </si>
  <si>
    <t>The total number of mills of ad valorem property taxes to be levied will be 18.0000 mills on</t>
  </si>
  <si>
    <t>non-homestead properties for the purpose of servicing the payment of operating expenses from</t>
  </si>
  <si>
    <t>the General Fund.</t>
  </si>
  <si>
    <t>Earnings on Investment and Deposits</t>
  </si>
  <si>
    <t>Admissions</t>
  </si>
  <si>
    <t>Private Sources (Contributions)</t>
  </si>
  <si>
    <t>Miscellaneous Local Revenues</t>
  </si>
  <si>
    <t>Property Tax Levy</t>
  </si>
  <si>
    <t>Revenue:</t>
  </si>
  <si>
    <t>Expenditure:</t>
  </si>
  <si>
    <t>→ Property tax revenue based on County Treasurer's update on 8/27/15)
→ Pupil count based on count data as of 12/14/15. Waldron 230; LCS 48.44 = 278.44 FTE
→ Elimination of Best Practice funding
→ Awarded Section 22d state aid funds for isolated/rural districts $44 per pupil
→ Increase in per pupil foundation allowance of $25 per pupil
→ Rental includes Community Action Agency agreement
→ Eliminate 2015/2016 USAC (Erate) funding
→ Included Indirect Cost Transfer from Food Service per finance committee</t>
  </si>
  <si>
    <t>Waldron Area Schools
2015/2016 Proposed Amendment to occur 1/11/16
General Fund</t>
  </si>
  <si>
    <t>→ Reduction of fuel oil expense per finance committee
→ Reallocation of .80 FTE administration to instructional staff
→ Decrease .5 FTE in custodial services due to retirement
→ Increased contracted services for maintenance personnel
→ Includes unemployment claim at full amount
→ Decreased retirement rate from 38.821% to 37.7452% based on UAAL costs</t>
  </si>
  <si>
    <t>Difference</t>
  </si>
  <si>
    <t>Retirement</t>
  </si>
  <si>
    <t>FICA</t>
  </si>
  <si>
    <t>FUND BALANCE, BEGINNING</t>
  </si>
  <si>
    <t>REVENUES:</t>
  </si>
  <si>
    <t>Local Sources</t>
  </si>
  <si>
    <t>State Sources</t>
  </si>
  <si>
    <t>Federal Sources</t>
  </si>
  <si>
    <t>Other Sources</t>
  </si>
  <si>
    <t xml:space="preserve">   Total Revenue</t>
  </si>
  <si>
    <t>EXPENDITURES:</t>
  </si>
  <si>
    <t xml:space="preserve">   Total Expenditures</t>
  </si>
  <si>
    <t>INCOME (LOSS)</t>
  </si>
  <si>
    <t>FUND BALANCE, ENDING</t>
  </si>
  <si>
    <t>FUND BALANCE AS A % OF EXPENDITURES</t>
  </si>
  <si>
    <t>Special Ed - Resource Room</t>
  </si>
  <si>
    <t>Computer Assisted Technology</t>
  </si>
  <si>
    <t>Business/Fiscal Services</t>
  </si>
  <si>
    <t>Transportation Services</t>
  </si>
  <si>
    <t>Athletic Services</t>
  </si>
  <si>
    <t>At Risk Grant</t>
  </si>
  <si>
    <t>Notes</t>
  </si>
  <si>
    <t xml:space="preserve">Waldron Area Schools </t>
  </si>
  <si>
    <t>Information Needed for 2016/2017 Budget</t>
  </si>
  <si>
    <t>1.</t>
  </si>
  <si>
    <t>Insurance requirements (waiting on SET SEG for response regarding ACA)</t>
  </si>
  <si>
    <t>2.</t>
  </si>
  <si>
    <t>3.</t>
  </si>
  <si>
    <t>4.</t>
  </si>
  <si>
    <t>Elementary staff listing</t>
  </si>
  <si>
    <t>5.</t>
  </si>
  <si>
    <t>Same as 2015/2016</t>
  </si>
  <si>
    <t>Waldron Area School</t>
  </si>
  <si>
    <t>Worksheet</t>
  </si>
  <si>
    <t>Rentals:</t>
  </si>
  <si>
    <t>Community Action Agency</t>
  </si>
  <si>
    <t xml:space="preserve">  Janitorial</t>
  </si>
  <si>
    <t xml:space="preserve">  Rent</t>
  </si>
  <si>
    <t xml:space="preserve">  Transportation</t>
  </si>
  <si>
    <t>CAA</t>
  </si>
  <si>
    <t>Food Service Transfer In/Out</t>
  </si>
  <si>
    <t>6.</t>
  </si>
  <si>
    <t>Unemployment</t>
  </si>
  <si>
    <t>7.</t>
  </si>
  <si>
    <t>JCISD Technology Contract (2016/2017)</t>
  </si>
  <si>
    <t>8.</t>
  </si>
  <si>
    <t>9.</t>
  </si>
  <si>
    <t>10.</t>
  </si>
  <si>
    <t>REAP Carryover</t>
  </si>
  <si>
    <t>11.</t>
  </si>
  <si>
    <t>Property valuation increase (Nick Wheeler)</t>
  </si>
  <si>
    <t>12.</t>
  </si>
  <si>
    <t>UAAL</t>
  </si>
  <si>
    <t>13.</t>
  </si>
  <si>
    <t>14.</t>
  </si>
  <si>
    <t>State Aid Calculation (less Lenawee Christian students)</t>
  </si>
  <si>
    <t>2015/2016</t>
  </si>
  <si>
    <t>2016/2017</t>
  </si>
  <si>
    <t>Salaries</t>
  </si>
  <si>
    <t>Rate</t>
  </si>
  <si>
    <t>2014/2015</t>
  </si>
  <si>
    <t>Title I and II Grant Estimate (What is the normal amount and how much expecting for carry-over)</t>
  </si>
  <si>
    <t>UAAL:</t>
  </si>
  <si>
    <t>15.</t>
  </si>
  <si>
    <t>16.</t>
  </si>
  <si>
    <t>Maid for You Contract</t>
  </si>
  <si>
    <t>17.</t>
  </si>
  <si>
    <t>October 2015 Free and Reduced Lunch Count</t>
  </si>
  <si>
    <t>Actual</t>
  </si>
  <si>
    <t xml:space="preserve">18. </t>
  </si>
  <si>
    <t>JCISD Technology:</t>
  </si>
  <si>
    <t>September 2015 General Ed</t>
  </si>
  <si>
    <t>September 2015 Special Ed</t>
  </si>
  <si>
    <t>At Risk Grant Estimate (How much expecting for carry-over)</t>
  </si>
  <si>
    <t>Skyward (5 year pay-off)</t>
  </si>
  <si>
    <t>Infinisource</t>
  </si>
  <si>
    <t>Compliance Posters</t>
  </si>
  <si>
    <t>Estimated .49% Increase</t>
  </si>
  <si>
    <t>Dues/Fees (Business Office):</t>
  </si>
  <si>
    <t>Maintenance (Maid for You):</t>
  </si>
  <si>
    <t>Hourly Rate</t>
  </si>
  <si>
    <t>Hours Per Day</t>
  </si>
  <si>
    <t>Days Per Year</t>
  </si>
  <si>
    <t>Per J. Fellabaum (4/19/16)</t>
  </si>
  <si>
    <t xml:space="preserve">   General Ed</t>
  </si>
  <si>
    <t xml:space="preserve">   LCS</t>
  </si>
  <si>
    <t>February 2016 Count:</t>
  </si>
  <si>
    <t>Estimated October 2016 Count:</t>
  </si>
  <si>
    <t>Governor's Proposal (50% February 2016 and 50% October 2016)</t>
  </si>
  <si>
    <t>House Proposal (15% February 2016 and 85% October 2016)</t>
  </si>
  <si>
    <t>Senate Proposal (25% February 2016 and 75% October 2016)</t>
  </si>
  <si>
    <t xml:space="preserve"> February 2016</t>
  </si>
  <si>
    <t>October 2016</t>
  </si>
  <si>
    <t>Blended Count</t>
  </si>
  <si>
    <t>Current (10% February 2016 and 90% October 2016)</t>
  </si>
  <si>
    <t>State Aid</t>
  </si>
  <si>
    <t>(22a) Proposal A</t>
  </si>
  <si>
    <t>(22b) Discretionary Payment</t>
  </si>
  <si>
    <t>Total</t>
  </si>
  <si>
    <t>Foundation Allowance:</t>
  </si>
  <si>
    <t>Waldron Area Schools</t>
  </si>
  <si>
    <t>State Aid Analysis</t>
  </si>
  <si>
    <t>For the Fiscal Year Ending 2017</t>
  </si>
  <si>
    <t>Fund Balance</t>
  </si>
  <si>
    <t>Bus Leases</t>
  </si>
  <si>
    <t>Grant CarryOver:</t>
  </si>
  <si>
    <t>Title I</t>
  </si>
  <si>
    <t>Title II</t>
  </si>
  <si>
    <t>Grant Current Year:</t>
  </si>
  <si>
    <t>Grant = $67,939 and C/O = $25,000</t>
  </si>
  <si>
    <t>Grant = $22,500</t>
  </si>
  <si>
    <t>Insurance requirements (MESSA Pak requirements) - Is Kathi considered a support personnel (i.e., R. Fellabaum receives benefits?)</t>
  </si>
  <si>
    <t>They had 3,685.00 from the REAP grant that needs to be spent by 9/30/16 I believe and 6,246.00 from the grant that has to be spent by 9/30/17.  I don’t see anything posted to the ledger so assuming they don’t spend anything before 6/30/16 they would have 9,931.00 in carryover.</t>
  </si>
  <si>
    <t>Grant = $6,246 and C/O = $9,931</t>
  </si>
  <si>
    <t>Carter (LCS)</t>
  </si>
  <si>
    <t>Grant = $170,420</t>
  </si>
  <si>
    <t>Grant = $27,140</t>
  </si>
  <si>
    <t>Insurance Property &amp; Casualty/Workman's Compensation</t>
  </si>
  <si>
    <t>19.</t>
  </si>
  <si>
    <t>Addition of LCS</t>
  </si>
  <si>
    <t>Bus Repair - $8,000</t>
  </si>
  <si>
    <t>20.</t>
  </si>
  <si>
    <t>Conference Costs - Advance Ed (Jose and Jill) = $500</t>
  </si>
  <si>
    <t>21.</t>
  </si>
  <si>
    <t>Administrative Ass't PD (Jenn and Kathi) = $2,000</t>
  </si>
  <si>
    <t>22.</t>
  </si>
  <si>
    <t>Jenn - Hire with an hourly rate of $12.00</t>
  </si>
  <si>
    <t>23.</t>
  </si>
  <si>
    <t>Edgenuity = $1,100</t>
  </si>
  <si>
    <t>24.</t>
  </si>
  <si>
    <t>Cash in Lieu</t>
  </si>
  <si>
    <t>25.</t>
  </si>
  <si>
    <t>Jennifer Hoffman</t>
  </si>
  <si>
    <t>Total Days</t>
  </si>
  <si>
    <t>Contracted Through PCMI (17% I/R)</t>
  </si>
  <si>
    <t>Days</t>
  </si>
  <si>
    <t>Hours</t>
  </si>
  <si>
    <t>Paid via District</t>
  </si>
  <si>
    <t>Paid via District (36.34%/7.65% = 43.99%)</t>
  </si>
  <si>
    <t>Schedule B (Updated with new contract?) No Change</t>
  </si>
  <si>
    <t>SET SEG</t>
  </si>
  <si>
    <t>Property</t>
  </si>
  <si>
    <t>Fleet</t>
  </si>
  <si>
    <t>Board Liability</t>
  </si>
  <si>
    <t>SET SEG - Worker's Compensation</t>
  </si>
  <si>
    <t>Driver's</t>
  </si>
  <si>
    <t>Clerical</t>
  </si>
  <si>
    <t>Paraprofessionals</t>
  </si>
  <si>
    <t>Teachers, Professionals</t>
  </si>
  <si>
    <t>All Other</t>
  </si>
  <si>
    <t>Estimated Fall 2016 student count based on Spring Count</t>
  </si>
  <si>
    <t>Square Footage:</t>
  </si>
  <si>
    <t>Middle/High School</t>
  </si>
  <si>
    <t>Total Square Footage</t>
  </si>
  <si>
    <t>Cost Per Sq. Ft. (2015/2016)</t>
  </si>
  <si>
    <t xml:space="preserve">Cost Per Sq. Ft. </t>
  </si>
  <si>
    <t>Class Room Square Footage</t>
  </si>
  <si>
    <t>Classroom #6</t>
  </si>
  <si>
    <t>Classroom #7</t>
  </si>
  <si>
    <t>Cost Per Square Foot</t>
  </si>
  <si>
    <t>Indirect Rate Charge</t>
  </si>
  <si>
    <t>GENERAL APPROPRIATIONS RESOLUTION</t>
  </si>
  <si>
    <t>BOARD OF EDUCATION</t>
  </si>
  <si>
    <t>WALDRON AREA SCHOOL</t>
  </si>
  <si>
    <r>
      <rPr>
        <b/>
        <sz val="11"/>
        <color indexed="8"/>
        <rFont val="Calibri"/>
        <family val="2"/>
      </rPr>
      <t>RESOLVED</t>
    </r>
    <r>
      <rPr>
        <sz val="11"/>
        <rFont val="Calibri"/>
        <family val="2"/>
      </rPr>
      <t xml:space="preserve">, that this resolution shall be the general appropriations of Waldron Area Schools for the </t>
    </r>
  </si>
  <si>
    <t>fiscal year 2016-2017. A resolution to make appropriations; and to provide for the disposition of all</t>
  </si>
  <si>
    <t>income received by the Waldron Area Schools.</t>
  </si>
  <si>
    <r>
      <rPr>
        <b/>
        <sz val="11"/>
        <color indexed="8"/>
        <rFont val="Calibri"/>
        <family val="2"/>
      </rPr>
      <t>BE IT FURTHER RESOLVED</t>
    </r>
    <r>
      <rPr>
        <sz val="11"/>
        <rFont val="Calibri"/>
        <family val="2"/>
      </rPr>
      <t xml:space="preserve">, that the total revenue and unappropriated fund balance be available for </t>
    </r>
  </si>
  <si>
    <t>follows:</t>
  </si>
  <si>
    <t>REVENUES</t>
  </si>
  <si>
    <t>Local Revenue</t>
  </si>
  <si>
    <t>State Revenue</t>
  </si>
  <si>
    <t>Federal Revenue</t>
  </si>
  <si>
    <t>Incoming Transfers &amp; Other Transactions</t>
  </si>
  <si>
    <t>Fund Modifications</t>
  </si>
  <si>
    <t>TOTAL REVENUE AND INCOMING TRANSFERS</t>
  </si>
  <si>
    <t>FUND BALANCE AS OF JULY 1ST TO APPROPRIATE</t>
  </si>
  <si>
    <t>TOTAL AMOUNT AVAILABLE TO APPROPRIATE</t>
  </si>
  <si>
    <t>hereby appropriated in the amounts and for the purposes set forth below:</t>
  </si>
  <si>
    <t>Basic programs, Instruction</t>
  </si>
  <si>
    <t>Added Needs, Instruction</t>
  </si>
  <si>
    <t>Pupil Support</t>
  </si>
  <si>
    <t>Instructional Support</t>
  </si>
  <si>
    <t>Business Support</t>
  </si>
  <si>
    <t xml:space="preserve">Transportation </t>
  </si>
  <si>
    <t>Central Services</t>
  </si>
  <si>
    <t>Other Support Services</t>
  </si>
  <si>
    <t>Community Services</t>
  </si>
  <si>
    <t>Total Expenditures</t>
  </si>
  <si>
    <t>Outgoing Transfers &amp; Other Transactions</t>
  </si>
  <si>
    <t>Capital Outlay</t>
  </si>
  <si>
    <t>TOTAL APPROPRIATED</t>
  </si>
  <si>
    <t>FUND BALANCE ENDING JUNE 30TH</t>
  </si>
  <si>
    <t>2016/2017 GENERAL EDUCATION BUDGET</t>
  </si>
  <si>
    <r>
      <t xml:space="preserve">appropriations in the </t>
    </r>
    <r>
      <rPr>
        <b/>
        <sz val="11"/>
        <rFont val="Calibri"/>
        <family val="2"/>
      </rPr>
      <t>General Education</t>
    </r>
    <r>
      <rPr>
        <b/>
        <sz val="11"/>
        <color indexed="8"/>
        <rFont val="Calibri"/>
        <family val="2"/>
      </rPr>
      <t xml:space="preserve"> Fund</t>
    </r>
    <r>
      <rPr>
        <sz val="11"/>
        <rFont val="Calibri"/>
        <family val="2"/>
      </rPr>
      <t xml:space="preserve"> of Waldron Area Schools for the fiscal year 2016-2017 is as</t>
    </r>
  </si>
  <si>
    <t>FUNCTION TOTALS</t>
  </si>
  <si>
    <t>4xx-6xx</t>
  </si>
  <si>
    <t>DIFFERENCE</t>
  </si>
  <si>
    <t>GENERAL EDUCATION FUND</t>
  </si>
  <si>
    <t>Secretary, Board of Education</t>
  </si>
  <si>
    <t>First Robotics</t>
  </si>
  <si>
    <t>Early Literacy Target Instruction</t>
  </si>
  <si>
    <r>
      <rPr>
        <b/>
        <sz val="11"/>
        <color indexed="8"/>
        <rFont val="Calibri"/>
        <family val="2"/>
      </rPr>
      <t>BE IT FURTHER RESOLVED</t>
    </r>
    <r>
      <rPr>
        <sz val="11"/>
        <rFont val="Calibri"/>
        <family val="2"/>
      </rPr>
      <t>, that $2,859,931 of the total available to appropriate in the</t>
    </r>
    <r>
      <rPr>
        <b/>
        <sz val="11"/>
        <color indexed="8"/>
        <rFont val="Calibri"/>
        <family val="2"/>
      </rPr>
      <t xml:space="preserve"> General Education Fund</t>
    </r>
    <r>
      <rPr>
        <sz val="11"/>
        <color indexed="8"/>
        <rFont val="Calibri"/>
        <family val="2"/>
      </rPr>
      <t xml:space="preserve"> is </t>
    </r>
  </si>
  <si>
    <t>Indirect Rate</t>
  </si>
  <si>
    <t xml:space="preserve">Early Literacy Coach </t>
  </si>
  <si>
    <t>Literacy Coach</t>
  </si>
  <si>
    <t>Computer Adaptive Test</t>
  </si>
  <si>
    <t>Title IV</t>
  </si>
  <si>
    <t>GENERAL APPROPRIATION RESOLUTION</t>
  </si>
  <si>
    <t>Special Education</t>
  </si>
  <si>
    <t>Early Literacy Targeted Instruction</t>
  </si>
  <si>
    <t>Student Services</t>
  </si>
  <si>
    <t>LITCHFIELD COMMUNITY SCHOOLS</t>
  </si>
  <si>
    <r>
      <t xml:space="preserve">to be available for the appropriations in the </t>
    </r>
    <r>
      <rPr>
        <b/>
        <sz val="10"/>
        <rFont val="Calibri"/>
        <family val="2"/>
      </rPr>
      <t>general fund</t>
    </r>
    <r>
      <rPr>
        <sz val="10"/>
        <rFont val="Calibri"/>
        <family val="2"/>
      </rPr>
      <t xml:space="preserve"> of the Litchfield Community Schools for</t>
    </r>
  </si>
  <si>
    <t>of the appropriations; and to provide for the disposition of all income received by Litchfield Community</t>
  </si>
  <si>
    <t>01150</t>
  </si>
  <si>
    <t>LITCHFIELD TOWNSHIP</t>
  </si>
  <si>
    <t>01160</t>
  </si>
  <si>
    <t>PULASKI TOWNSHIP</t>
  </si>
  <si>
    <t>01170</t>
  </si>
  <si>
    <t>SCIPIO TOWNSHIP</t>
  </si>
  <si>
    <t>01180</t>
  </si>
  <si>
    <t>DELINQUENT TAXES</t>
  </si>
  <si>
    <t>01110</t>
  </si>
  <si>
    <t>ALLEN TOWNSHIP</t>
  </si>
  <si>
    <t>01120</t>
  </si>
  <si>
    <t>BUTLER TOWNSHIP</t>
  </si>
  <si>
    <t>01130</t>
  </si>
  <si>
    <t>HOMER TOWNSHIP</t>
  </si>
  <si>
    <t>01140</t>
  </si>
  <si>
    <t>LITCHFIELD - CITY</t>
  </si>
  <si>
    <t>02110</t>
  </si>
  <si>
    <t>BOYS BASKETBALL</t>
  </si>
  <si>
    <t>02120</t>
  </si>
  <si>
    <t>GIRLS BASKETBALL</t>
  </si>
  <si>
    <t>02130</t>
  </si>
  <si>
    <t>FOOTBALL</t>
  </si>
  <si>
    <t>02140</t>
  </si>
  <si>
    <t>VOLLEYBALL</t>
  </si>
  <si>
    <t>02180</t>
  </si>
  <si>
    <t>ATHLETIC PASSES</t>
  </si>
  <si>
    <t>02190</t>
  </si>
  <si>
    <t>MHSAA TOURNAMENT RECEIPTS</t>
  </si>
  <si>
    <t>02510</t>
  </si>
  <si>
    <t>BOOSTERS - FOOTBALL</t>
  </si>
  <si>
    <t>02520</t>
  </si>
  <si>
    <t>BOOSTERS - VOLLEYBALL</t>
  </si>
  <si>
    <t>02540</t>
  </si>
  <si>
    <t>BOOSTERS - BASKETBALL</t>
  </si>
  <si>
    <t>02550</t>
  </si>
  <si>
    <t>BOOSTERS TRACK</t>
  </si>
  <si>
    <t>02560</t>
  </si>
  <si>
    <t>BOOSTERS BASEBALL</t>
  </si>
  <si>
    <t>02570</t>
  </si>
  <si>
    <t>BOOSTERS SOFTBALL</t>
  </si>
  <si>
    <t>02590</t>
  </si>
  <si>
    <t>BOOSTERS - MISC</t>
  </si>
  <si>
    <t>01250</t>
  </si>
  <si>
    <t>01210</t>
  </si>
  <si>
    <t>01230</t>
  </si>
  <si>
    <t>01290</t>
  </si>
  <si>
    <t>01310</t>
  </si>
  <si>
    <t>Student Count 254.  SpEd 1.77</t>
  </si>
  <si>
    <t>01320</t>
  </si>
  <si>
    <t>SPECIAL ED - HEADLEE OBLIGATION</t>
  </si>
  <si>
    <t>01330</t>
  </si>
  <si>
    <t>DISCRETIONARY PAYMENT</t>
  </si>
  <si>
    <t>01333</t>
  </si>
  <si>
    <t>HS PUPIL SUPPORTS (BONUS)</t>
  </si>
  <si>
    <t>as of 03/20/19</t>
  </si>
  <si>
    <t>01351</t>
  </si>
  <si>
    <t>CTE PER PUPIL INCENTIVE</t>
  </si>
  <si>
    <t>New</t>
  </si>
  <si>
    <t>01336</t>
  </si>
  <si>
    <t>ISOLATED DISTRICTS</t>
  </si>
  <si>
    <t>01338</t>
  </si>
  <si>
    <t>PERFORMANCE BASED FUNDING</t>
  </si>
  <si>
    <t>01345</t>
  </si>
  <si>
    <t>HEADLEE - DATA COLLECTION</t>
  </si>
  <si>
    <t>01350</t>
  </si>
  <si>
    <t>AT RISK</t>
  </si>
  <si>
    <t>01352</t>
  </si>
  <si>
    <t>EARLY LITERACY TARGETED INSTRUCTION</t>
  </si>
  <si>
    <t>GREAT START READINESS PROGRAM (GSRP)</t>
  </si>
  <si>
    <t>01365</t>
  </si>
  <si>
    <t>SEC 147a(1) MPSRS COST OFFSET</t>
  </si>
  <si>
    <t>01377</t>
  </si>
  <si>
    <t>COMPUTER ADAPTIVE TEST SEC 104D</t>
  </si>
  <si>
    <t>01370</t>
  </si>
  <si>
    <t>SEC 147c(1) MPSRS RATE STABILIZAT</t>
  </si>
  <si>
    <t>01375</t>
  </si>
  <si>
    <t>SEC 147c(2) MPSRS 1-TIME LIAB PMT</t>
  </si>
  <si>
    <t>SEC 147e     MPSRS REFORMS-DEFINED CONTRIB</t>
  </si>
  <si>
    <t>01378</t>
  </si>
  <si>
    <t>01380</t>
  </si>
  <si>
    <t>PRIOR YEAR ADJUSTMENTS</t>
  </si>
  <si>
    <t>Revenue from State Sources</t>
  </si>
  <si>
    <t>01420</t>
  </si>
  <si>
    <t>01450</t>
  </si>
  <si>
    <t>01460</t>
  </si>
  <si>
    <t>MEDICAID OUTREACH</t>
  </si>
  <si>
    <t>Total Federal Revenue</t>
  </si>
  <si>
    <t>`</t>
  </si>
  <si>
    <t>Other Local Revenue</t>
  </si>
  <si>
    <t>01510</t>
  </si>
  <si>
    <t>SALE - FIXED ASSETS</t>
  </si>
  <si>
    <t>01525</t>
  </si>
  <si>
    <t>INDIRECT COST RECOVERY</t>
  </si>
  <si>
    <t>KROHN CENTER - ELECTRIC/HEAT REIMB.</t>
  </si>
  <si>
    <t>01530</t>
  </si>
  <si>
    <t>OTHER REVENUE</t>
  </si>
  <si>
    <t>RENTALS</t>
  </si>
  <si>
    <t>GSRP PRE-SCHOOL LEAD TEACHER</t>
  </si>
  <si>
    <t>GSRP LEAD TEACHER HEALTH INSURANCE</t>
  </si>
  <si>
    <t>GSRP LEAD TEACHER RETIREMENT</t>
  </si>
  <si>
    <t>GSRP LEAD TEACHER FICA</t>
  </si>
  <si>
    <t>GSRP PRE-SCHOOL ASSOCIATE TEACHER</t>
  </si>
  <si>
    <t>GSRP ASSOCIATE TEACHER FICA</t>
  </si>
  <si>
    <t>GSRP</t>
  </si>
  <si>
    <t>11111</t>
  </si>
  <si>
    <t>ELEM TCHR SALARY</t>
  </si>
  <si>
    <t>ELEM SCHEDULE B</t>
  </si>
  <si>
    <t>11114</t>
  </si>
  <si>
    <t>ELEM CASH IN LIEU</t>
  </si>
  <si>
    <t>11121</t>
  </si>
  <si>
    <t>ELEM HEALTH INSURANCE</t>
  </si>
  <si>
    <t>11122</t>
  </si>
  <si>
    <t>ELEM RETIREMENT</t>
  </si>
  <si>
    <t>11123</t>
  </si>
  <si>
    <t>ELEM FICA</t>
  </si>
  <si>
    <t>11131</t>
  </si>
  <si>
    <t>ELEM CONFERENCES/WORKSHOPS</t>
  </si>
  <si>
    <t>11133</t>
  </si>
  <si>
    <t>ELEM COPIER LEASE</t>
  </si>
  <si>
    <t>11134</t>
  </si>
  <si>
    <t>ELEM CONTRACT - SUB TEACHER</t>
  </si>
  <si>
    <t>11141</t>
  </si>
  <si>
    <t>ELEM TEACHING SUPPLIES</t>
  </si>
  <si>
    <t>W.C.</t>
  </si>
  <si>
    <t>11143</t>
  </si>
  <si>
    <t>ELEM COPIER SUPPLIES</t>
  </si>
  <si>
    <t>NWEA EVALS</t>
  </si>
  <si>
    <t>12111</t>
  </si>
  <si>
    <t>MS TCHR SALARY</t>
  </si>
  <si>
    <t>12113</t>
  </si>
  <si>
    <t>MS SCHEDULE B</t>
  </si>
  <si>
    <t>12114</t>
  </si>
  <si>
    <t>MS CASH IN-LIEU</t>
  </si>
  <si>
    <t>12121</t>
  </si>
  <si>
    <t>MS HEALTH INSURANCE</t>
  </si>
  <si>
    <t>12122</t>
  </si>
  <si>
    <t>MS RETIREMENT</t>
  </si>
  <si>
    <t>12123</t>
  </si>
  <si>
    <t>MS FICA</t>
  </si>
  <si>
    <t>12125</t>
  </si>
  <si>
    <t>TUITION REIMBURSEMENT</t>
  </si>
  <si>
    <t>12131</t>
  </si>
  <si>
    <t>MS CONFERENCES/WORKSHOPS</t>
  </si>
  <si>
    <t>12133</t>
  </si>
  <si>
    <t>MS COPIER LEASE</t>
  </si>
  <si>
    <t>12134</t>
  </si>
  <si>
    <t>MS CONTRACT - SUB TEACHER</t>
  </si>
  <si>
    <t>12141</t>
  </si>
  <si>
    <t>MS TEACHING SUPPLIES</t>
  </si>
  <si>
    <t>12142</t>
  </si>
  <si>
    <t>MS TEXTBOOKS</t>
  </si>
  <si>
    <t>12143</t>
  </si>
  <si>
    <t>MS COPIER SUPPLIES</t>
  </si>
  <si>
    <t>13111</t>
  </si>
  <si>
    <t>HS TCHR SALARY</t>
  </si>
  <si>
    <t>13113</t>
  </si>
  <si>
    <t>HS SCHEDULE B</t>
  </si>
  <si>
    <t>13121</t>
  </si>
  <si>
    <t>HS HEALTH INSURANCE</t>
  </si>
  <si>
    <t>13122</t>
  </si>
  <si>
    <t>HS RETIREMENT</t>
  </si>
  <si>
    <t>13123</t>
  </si>
  <si>
    <t>HS FICA</t>
  </si>
  <si>
    <t>13125</t>
  </si>
  <si>
    <t>HS TUITION REIMBURSEMENT</t>
  </si>
  <si>
    <t>13131</t>
  </si>
  <si>
    <t>HS CONFERENCE/WORKSHOP</t>
  </si>
  <si>
    <t>13133</t>
  </si>
  <si>
    <t>HS COPIER LEASE</t>
  </si>
  <si>
    <t>13134</t>
  </si>
  <si>
    <t>HS CONTR SUB TEACHER</t>
  </si>
  <si>
    <t>13135</t>
  </si>
  <si>
    <t>HS TUITION - LOCAL/ISD/BRANCH</t>
  </si>
  <si>
    <t>13136</t>
  </si>
  <si>
    <t>HS DUAL ENROLLMENT</t>
  </si>
  <si>
    <t>13141</t>
  </si>
  <si>
    <t>HS TEACHING SUPPLIES</t>
  </si>
  <si>
    <t>13142</t>
  </si>
  <si>
    <t>HS TEXTBOOKS</t>
  </si>
  <si>
    <t>13143</t>
  </si>
  <si>
    <t>HS COPIER SUPPLIES</t>
  </si>
  <si>
    <t>13144</t>
  </si>
  <si>
    <t>HS ART SUPPLIES</t>
  </si>
  <si>
    <t>13145</t>
  </si>
  <si>
    <t>HS BAND SUPPLIES</t>
  </si>
  <si>
    <t>13146</t>
  </si>
  <si>
    <t>HS FIRST ROBOTICS</t>
  </si>
  <si>
    <t>13151</t>
  </si>
  <si>
    <t>13152</t>
  </si>
  <si>
    <t>HS EQUIPMENT - BAND</t>
  </si>
  <si>
    <t>21121</t>
  </si>
  <si>
    <t>21122</t>
  </si>
  <si>
    <t>21123</t>
  </si>
  <si>
    <t>21134</t>
  </si>
  <si>
    <t>23134</t>
  </si>
  <si>
    <t>SP ED ELEM FICA</t>
  </si>
  <si>
    <t>PROGRAM COST</t>
  </si>
  <si>
    <t>25230</t>
  </si>
  <si>
    <t>M.Burger</t>
  </si>
  <si>
    <t>25240</t>
  </si>
  <si>
    <t>AT RISK PBIS BEHAVIOR INTERV. (Contracted)</t>
  </si>
  <si>
    <t>C.Champion</t>
  </si>
  <si>
    <t>25241</t>
  </si>
  <si>
    <t>AT RISK PBIS BEHAVIOR INTERV. HEALTH INS.</t>
  </si>
  <si>
    <t>25313</t>
  </si>
  <si>
    <t>AT RISK AIDES WAGES</t>
  </si>
  <si>
    <t>23322</t>
  </si>
  <si>
    <t>AT RISK AIDES RETIREMENT</t>
  </si>
  <si>
    <t>25323</t>
  </si>
  <si>
    <t>AT RISK AIDES FICA</t>
  </si>
  <si>
    <t>23341</t>
  </si>
  <si>
    <t>Support Services</t>
  </si>
  <si>
    <t>11211</t>
  </si>
  <si>
    <t>LUNCH MONITOR/PLAYGROUND WAGES</t>
  </si>
  <si>
    <t>11222</t>
  </si>
  <si>
    <t>LUNCH MONITOR/PLAYGROUND RETIREMENT</t>
  </si>
  <si>
    <t>11223</t>
  </si>
  <si>
    <t>LUNCH MONITOR/PLAYGROUND FICA</t>
  </si>
  <si>
    <t>33135</t>
  </si>
  <si>
    <t>LEGAL COSTS</t>
  </si>
  <si>
    <t>33136</t>
  </si>
  <si>
    <t>AUDIT COSTS</t>
  </si>
  <si>
    <t>33137</t>
  </si>
  <si>
    <t>ELECTION COSTS</t>
  </si>
  <si>
    <t>33149</t>
  </si>
  <si>
    <t>BOARD MEETING COSTS</t>
  </si>
  <si>
    <t>33229</t>
  </si>
  <si>
    <t>MANAGEMENT SERVICES-NEOLA</t>
  </si>
  <si>
    <t>33191</t>
  </si>
  <si>
    <t>DUES &amp; FEES</t>
  </si>
  <si>
    <t>Executive Search &amp; Coaching</t>
  </si>
  <si>
    <t>33211</t>
  </si>
  <si>
    <t>SUPERINTENDENT SALARY</t>
  </si>
  <si>
    <t>33213</t>
  </si>
  <si>
    <t>SUPERINTENDENT W.C.</t>
  </si>
  <si>
    <t>33221</t>
  </si>
  <si>
    <t>SUPERINTENDENT HEALTH INSURANCE</t>
  </si>
  <si>
    <t>Family Coverage $18,232.31/2</t>
  </si>
  <si>
    <t>33222</t>
  </si>
  <si>
    <t>SUPERINTENDENT RETIREMENT</t>
  </si>
  <si>
    <t>Retirement @ 38.5%</t>
  </si>
  <si>
    <t>33223</t>
  </si>
  <si>
    <t>SUPERINTENDENT FICA</t>
  </si>
  <si>
    <t>33230</t>
  </si>
  <si>
    <t>CONTRACTED SERVICES</t>
  </si>
  <si>
    <t>33231</t>
  </si>
  <si>
    <t>CONFERENCES</t>
  </si>
  <si>
    <t>33232</t>
  </si>
  <si>
    <t>TRAVEL/MILEAGE</t>
  </si>
  <si>
    <t>33234</t>
  </si>
  <si>
    <t>COPIER/PRINTING COSTS</t>
  </si>
  <si>
    <t>33238</t>
  </si>
  <si>
    <t>TELEPHONE</t>
  </si>
  <si>
    <t>33241</t>
  </si>
  <si>
    <t>OFFICE SUPPLIES</t>
  </si>
  <si>
    <t>33291</t>
  </si>
  <si>
    <t>33299</t>
  </si>
  <si>
    <t>MISC ACCOUNT</t>
  </si>
  <si>
    <t>33330</t>
  </si>
  <si>
    <t>CONTRACTED - SECRETARIAL</t>
  </si>
  <si>
    <t>A.Fox pay increase $34,018.92 + 17% Fee (EduStaff)</t>
  </si>
  <si>
    <t>31222</t>
  </si>
  <si>
    <t>31223</t>
  </si>
  <si>
    <t>31230</t>
  </si>
  <si>
    <t>ELEM PRINCIPAL CONTRACTED</t>
  </si>
  <si>
    <t>31231</t>
  </si>
  <si>
    <t>31238</t>
  </si>
  <si>
    <t>ELEM TELEPHONE</t>
  </si>
  <si>
    <t>31241</t>
  </si>
  <si>
    <t>ELEM OFFICE SUPPLIES</t>
  </si>
  <si>
    <t>31242</t>
  </si>
  <si>
    <t>ELEM POSTAGE</t>
  </si>
  <si>
    <t>31243</t>
  </si>
  <si>
    <t>31299</t>
  </si>
  <si>
    <t>ELEM MISCELLANEOUS EXPENSE</t>
  </si>
  <si>
    <t>31311</t>
  </si>
  <si>
    <t>ELEM SECRETARY WAGES</t>
  </si>
  <si>
    <t>32143</t>
  </si>
  <si>
    <t>32211</t>
  </si>
  <si>
    <t>MS/HS PRINCIPAL SALARY</t>
  </si>
  <si>
    <t>If a joint position with Superintendent, amount will be divided between Superintendent and Principal.</t>
  </si>
  <si>
    <t>32223</t>
  </si>
  <si>
    <t>32230</t>
  </si>
  <si>
    <t>32231</t>
  </si>
  <si>
    <t>MS/HS CONFERENCES/WORKSHOPS</t>
  </si>
  <si>
    <t>32238</t>
  </si>
  <si>
    <t>MS/HS TELEPHONE</t>
  </si>
  <si>
    <t>32241</t>
  </si>
  <si>
    <t>MS/HS OFFICE SUPPLIES</t>
  </si>
  <si>
    <t>32242</t>
  </si>
  <si>
    <t>MS/HS POSTAGE</t>
  </si>
  <si>
    <t>32299</t>
  </si>
  <si>
    <t>MS/HS MISCELLANEOUS EXPENSE</t>
  </si>
  <si>
    <t>32311</t>
  </si>
  <si>
    <t>MS/HS SECRETARY WAGES</t>
  </si>
  <si>
    <t>32312</t>
  </si>
  <si>
    <t>SUB SECRETARY WAGES</t>
  </si>
  <si>
    <t>34211</t>
  </si>
  <si>
    <t>BUSINESS OFFICE SALARY</t>
  </si>
  <si>
    <t>34221</t>
  </si>
  <si>
    <t>BUSINESS OFFICE HEALTH INSURANCE</t>
  </si>
  <si>
    <t>34222</t>
  </si>
  <si>
    <t>BUSINESS OFFICE RETIREMENT</t>
  </si>
  <si>
    <t>34223</t>
  </si>
  <si>
    <t>BUSINESS OFFICE FICA</t>
  </si>
  <si>
    <t>34224</t>
  </si>
  <si>
    <t>WORK COMP. - TCH-AIDS</t>
  </si>
  <si>
    <t>34225</t>
  </si>
  <si>
    <t>UNEMPLOYMENT COSTS</t>
  </si>
  <si>
    <t>34230</t>
  </si>
  <si>
    <t>34232</t>
  </si>
  <si>
    <t>34233</t>
  </si>
  <si>
    <t>ADVERTISEMENT</t>
  </si>
  <si>
    <t>34241</t>
  </si>
  <si>
    <t>SUPPLIES</t>
  </si>
  <si>
    <t>34242</t>
  </si>
  <si>
    <t>POSTAGE</t>
  </si>
  <si>
    <t>34261</t>
  </si>
  <si>
    <t>$500,000 @ 2.39%</t>
  </si>
  <si>
    <t>34291</t>
  </si>
  <si>
    <t>DUES &amp; BANK FEES - OTHER</t>
  </si>
  <si>
    <t>34293</t>
  </si>
  <si>
    <t>ABATED TAXES</t>
  </si>
  <si>
    <t>34294</t>
  </si>
  <si>
    <t>LIABILITY INS</t>
  </si>
  <si>
    <t>34299</t>
  </si>
  <si>
    <t>MISCELLANEOUS EXPENSE</t>
  </si>
  <si>
    <t>CONTRACTED SERVICES - BUSINESS SERVICES</t>
  </si>
  <si>
    <t>38999</t>
  </si>
  <si>
    <t>41462</t>
  </si>
  <si>
    <t>GAS HEAT - ELEM</t>
  </si>
  <si>
    <t>41463</t>
  </si>
  <si>
    <t>ELECTRICITY - ELEM</t>
  </si>
  <si>
    <t>41464</t>
  </si>
  <si>
    <t>ELECTRICITY - PORTABLES</t>
  </si>
  <si>
    <t>41465</t>
  </si>
  <si>
    <t>GAS HEAT - PORTABLES</t>
  </si>
  <si>
    <t>42299</t>
  </si>
  <si>
    <t>42461</t>
  </si>
  <si>
    <t>SEWER - HS</t>
  </si>
  <si>
    <t>42462</t>
  </si>
  <si>
    <t>GAS HEAT - HS</t>
  </si>
  <si>
    <t>42463</t>
  </si>
  <si>
    <t>ELECTRICITY - HS</t>
  </si>
  <si>
    <t>42464</t>
  </si>
  <si>
    <t>ELECTRICITY - STORAGE SHED</t>
  </si>
  <si>
    <t>43111</t>
  </si>
  <si>
    <t>MAINT. SUPERVISOR SALARY</t>
  </si>
  <si>
    <t>B.May pay increase $1,200</t>
  </si>
  <si>
    <t>43121</t>
  </si>
  <si>
    <t>MAINT.SUPERVISOR HEALTH INSURANCE</t>
  </si>
  <si>
    <t>43122</t>
  </si>
  <si>
    <t>43123</t>
  </si>
  <si>
    <t>43124</t>
  </si>
  <si>
    <t>43125</t>
  </si>
  <si>
    <t>MAINT.CLOTHING ALLOWANCE</t>
  </si>
  <si>
    <t>43133</t>
  </si>
  <si>
    <t>43134</t>
  </si>
  <si>
    <t>REPAIR/MAINT BUILDINGS</t>
  </si>
  <si>
    <t>43135</t>
  </si>
  <si>
    <t>REPAIR/MAINT EQUIPMENT</t>
  </si>
  <si>
    <t>43137</t>
  </si>
  <si>
    <t>CUSTODIAN PURCHASE SERVICE</t>
  </si>
  <si>
    <t>43161</t>
  </si>
  <si>
    <t>SEWER - SHOP</t>
  </si>
  <si>
    <t>43211</t>
  </si>
  <si>
    <t>CUSTODIAN WAGES</t>
  </si>
  <si>
    <t>43238</t>
  </si>
  <si>
    <t>WASTE/PEST CONTROL</t>
  </si>
  <si>
    <t>43264</t>
  </si>
  <si>
    <t>SEWER ASSESSMENT</t>
  </si>
  <si>
    <t>44143</t>
  </si>
  <si>
    <t>GAS - MOTOR FUEL</t>
  </si>
  <si>
    <t>44162</t>
  </si>
  <si>
    <t>GAS HEAT - KROHN CENTER</t>
  </si>
  <si>
    <t>44163</t>
  </si>
  <si>
    <t>ELECTRICITY - KROHN CENTER (200 BISHOP ST.)</t>
  </si>
  <si>
    <t>44164</t>
  </si>
  <si>
    <t>GAS HEAT - BUS GARAGE</t>
  </si>
  <si>
    <t>44242</t>
  </si>
  <si>
    <t>MAINTENANCE SUPPLIES</t>
  </si>
  <si>
    <t>44294</t>
  </si>
  <si>
    <t>PROPERTY / CASUALTY INS</t>
  </si>
  <si>
    <t>CONFERENCE</t>
  </si>
  <si>
    <t>46463</t>
  </si>
  <si>
    <t>ELECTRICITY - ATHLETICS</t>
  </si>
  <si>
    <t>43311</t>
  </si>
  <si>
    <t>BUS DRIVER WAGES</t>
  </si>
  <si>
    <t>43312</t>
  </si>
  <si>
    <t>BUS DRIVER CAREER CENTER</t>
  </si>
  <si>
    <t>43313</t>
  </si>
  <si>
    <t>BUS DRIVER OTHER WAGES</t>
  </si>
  <si>
    <t>43314</t>
  </si>
  <si>
    <t>BUS DRIVER FIELD TRIPS</t>
  </si>
  <si>
    <t>43315</t>
  </si>
  <si>
    <t>SUB DRIVER WAGES</t>
  </si>
  <si>
    <t>43316</t>
  </si>
  <si>
    <t>TRANSPORTATION SUPERVISOR SALARY</t>
  </si>
  <si>
    <t>43322</t>
  </si>
  <si>
    <t>43323</t>
  </si>
  <si>
    <t>43324</t>
  </si>
  <si>
    <t>BUS DRIVER WORKERS COMP</t>
  </si>
  <si>
    <t>43325</t>
  </si>
  <si>
    <t>BUS DRIVER PHYSICAL COSTS</t>
  </si>
  <si>
    <t>43331</t>
  </si>
  <si>
    <t>CONFERENCES/WORKSHOPS</t>
  </si>
  <si>
    <t>43332</t>
  </si>
  <si>
    <t>SNOW REMOVAL</t>
  </si>
  <si>
    <t>43333</t>
  </si>
  <si>
    <t>CELL PHONES</t>
  </si>
  <si>
    <t>43334</t>
  </si>
  <si>
    <t>PARTS/MAINTENANCE</t>
  </si>
  <si>
    <t>43337</t>
  </si>
  <si>
    <t>INSURANCE - FLEET</t>
  </si>
  <si>
    <t>43341</t>
  </si>
  <si>
    <t>43343</t>
  </si>
  <si>
    <t>FUEL-DIESEL</t>
  </si>
  <si>
    <t>43344</t>
  </si>
  <si>
    <t>TIRES</t>
  </si>
  <si>
    <t>43390</t>
  </si>
  <si>
    <t>EQUIPMENT</t>
  </si>
  <si>
    <t>43391</t>
  </si>
  <si>
    <t>43392</t>
  </si>
  <si>
    <t>SCHOOL BUS PURCHASE</t>
  </si>
  <si>
    <t>4th Bus Lease $12.432 + Final 2015 Lease Payment $2,688</t>
  </si>
  <si>
    <t>43399</t>
  </si>
  <si>
    <t>GSRP BUS DIVER WAGES</t>
  </si>
  <si>
    <t>GSRP BUS DRIVER RETIREMENT</t>
  </si>
  <si>
    <t>GSRP BUS DRIVER FICA</t>
  </si>
  <si>
    <t>35211</t>
  </si>
  <si>
    <t>TECHNOLOGY SALARY</t>
  </si>
  <si>
    <t>35221</t>
  </si>
  <si>
    <t>TECHNOLOGY HEALTH INSURANCE</t>
  </si>
  <si>
    <t>35222</t>
  </si>
  <si>
    <t>TECHNOLOGY RETIREMENT</t>
  </si>
  <si>
    <t>35223</t>
  </si>
  <si>
    <t>TECHNOLOGY FICA</t>
  </si>
  <si>
    <t>35231</t>
  </si>
  <si>
    <t>TECHNOLOGY PURCHASED SERVICES</t>
  </si>
  <si>
    <t>35251</t>
  </si>
  <si>
    <t>TECHNOLOGY EQUIPMENT</t>
  </si>
  <si>
    <t>71011</t>
  </si>
  <si>
    <t>ATHLETIC DIRECTOR SALARY</t>
  </si>
  <si>
    <t>ATHLETIC DIRECTOR FICA</t>
  </si>
  <si>
    <t>71012</t>
  </si>
  <si>
    <t>GAME MANAGEMENT</t>
  </si>
  <si>
    <t>71022</t>
  </si>
  <si>
    <t>ATHLETICS BUS DRIVER RETIREMENT</t>
  </si>
  <si>
    <t>71023</t>
  </si>
  <si>
    <t>ATHLETICS BUS DRIVER FICA</t>
  </si>
  <si>
    <t>71914</t>
  </si>
  <si>
    <t>ATHLETICS BUS DRIVER WAGES</t>
  </si>
  <si>
    <t>ADVERTISING</t>
  </si>
  <si>
    <t>71935</t>
  </si>
  <si>
    <t>PRINTING</t>
  </si>
  <si>
    <t>71942</t>
  </si>
  <si>
    <t>AWARDS / BANQUET COSTS</t>
  </si>
  <si>
    <t>71951</t>
  </si>
  <si>
    <t>ATHLETIC EQUIPMENT</t>
  </si>
  <si>
    <t>71991</t>
  </si>
  <si>
    <t>DISTRICT / REGIONAL FEES</t>
  </si>
  <si>
    <t>71995</t>
  </si>
  <si>
    <t>MHSAA TOURNAMENT EXPENSES</t>
  </si>
  <si>
    <t>71999</t>
  </si>
  <si>
    <t>72292</t>
  </si>
  <si>
    <t>72443</t>
  </si>
  <si>
    <t>GIRLS BASKETBALL SUPPLIES</t>
  </si>
  <si>
    <t>72723</t>
  </si>
  <si>
    <t>73143</t>
  </si>
  <si>
    <t>FOOTBALL SUPPLIES</t>
  </si>
  <si>
    <t>73443</t>
  </si>
  <si>
    <t>BOYS BASKETBALL SUPPLIES</t>
  </si>
  <si>
    <t>73646</t>
  </si>
  <si>
    <t>BASEBALL SUPPLIES</t>
  </si>
  <si>
    <t>74343</t>
  </si>
  <si>
    <t>CROSS COUNTRY SUPPLIES</t>
  </si>
  <si>
    <t>74392</t>
  </si>
  <si>
    <t>CROSS COUNTRY INVITATIONAL FEES</t>
  </si>
  <si>
    <t>74511</t>
  </si>
  <si>
    <t>74532</t>
  </si>
  <si>
    <t>74543</t>
  </si>
  <si>
    <t>TRACK SUPPLIES</t>
  </si>
  <si>
    <t>TRACK INVITATIONAL FEES</t>
  </si>
  <si>
    <t>75000</t>
  </si>
  <si>
    <t>BOOSTERS - CROSS COUNTRY</t>
  </si>
  <si>
    <t>75100</t>
  </si>
  <si>
    <t>75200</t>
  </si>
  <si>
    <t>75400</t>
  </si>
  <si>
    <t>75500</t>
  </si>
  <si>
    <t>BOOSTERS - TRACK</t>
  </si>
  <si>
    <t>75600</t>
  </si>
  <si>
    <t>BOOSTERS - BASEBALL</t>
  </si>
  <si>
    <t>75700</t>
  </si>
  <si>
    <t>BOOSTERS - SOFTBALL</t>
  </si>
  <si>
    <t>75900</t>
  </si>
  <si>
    <t>23398</t>
  </si>
  <si>
    <t>ATTENDANCE / TRUANCY</t>
  </si>
  <si>
    <t>23735</t>
  </si>
  <si>
    <t>YOUTH HOME</t>
  </si>
  <si>
    <t>EARLY MIDDLE COLLEGE</t>
  </si>
  <si>
    <t>35272</t>
  </si>
  <si>
    <t>VIDEO STREAMING</t>
  </si>
  <si>
    <t>35273</t>
  </si>
  <si>
    <t>INTERNET ACCESS</t>
  </si>
  <si>
    <t>35274</t>
  </si>
  <si>
    <t>FIBER MAINTENANCE</t>
  </si>
  <si>
    <t>Outgoing Transfers</t>
  </si>
  <si>
    <t>WORKERS COMP</t>
  </si>
  <si>
    <t>SIG INDIRECT COST</t>
  </si>
  <si>
    <t>GSRP CLASS ROOM SUPPLIES</t>
  </si>
  <si>
    <t>GSRP CONFERENCES</t>
  </si>
  <si>
    <t>GSRP TECHNOLOGY COST</t>
  </si>
  <si>
    <t>GSRP DIRCTOR  COST SALARY</t>
  </si>
  <si>
    <t>GSRP DIRCTOR  COST RETIREMENT</t>
  </si>
  <si>
    <t>GSRP DIRCTOR  COST FICA</t>
  </si>
  <si>
    <t>GSRP ADMINISTRATOR RETIREMENT</t>
  </si>
  <si>
    <t>GSRP ADMINISTRATOR FICA</t>
  </si>
  <si>
    <t>GSRP ADMINISTRATOR SALARY</t>
  </si>
  <si>
    <t>GSRP FISCAL SERVICES SALARY</t>
  </si>
  <si>
    <t>GSRP FISCAL SERVICES RETIREMENT</t>
  </si>
  <si>
    <t>GSRP FISCAL SERVICES FICA</t>
  </si>
  <si>
    <t>Robinson (no SIS grant)</t>
  </si>
  <si>
    <t>1.9% Hard cap Increase=$139.84/2</t>
  </si>
  <si>
    <t>GSRP MAINTENANCE FICA</t>
  </si>
  <si>
    <t>GSRP MAINTENANCE SALARY</t>
  </si>
  <si>
    <t>GSRP MAINTENANCE RETIREMENT</t>
  </si>
  <si>
    <t>GSRP UTILITIES HEAT</t>
  </si>
  <si>
    <t>GSRP UTILITIES ELECTRIC</t>
  </si>
  <si>
    <t>GSRP MAINTENANCE SUPPLIES</t>
  </si>
  <si>
    <t>GSRP CLEANING SUPPLIES</t>
  </si>
  <si>
    <t>GSRP LIABILITY INSURNCE</t>
  </si>
  <si>
    <t>GSRP PLAYGROUND EQUIPMENT</t>
  </si>
  <si>
    <t>GSRP FUEL</t>
  </si>
  <si>
    <t>AT RISK PROGRAM COST</t>
  </si>
  <si>
    <t>PRIOR PERIOD</t>
  </si>
  <si>
    <t>(GSRP) CARRYOVER</t>
  </si>
  <si>
    <t>EARLY LITERACY COACH</t>
  </si>
  <si>
    <t>01190</t>
  </si>
  <si>
    <t>PPT REIMBURSEMENT</t>
  </si>
  <si>
    <t>SEC 99H FIRST ROBOTICS INCLUDES PRIOR YEAR</t>
  </si>
  <si>
    <t>Indirect Fees - Federal Grants</t>
  </si>
  <si>
    <t>Title V</t>
  </si>
  <si>
    <t>CONTRIBUTIONS</t>
  </si>
  <si>
    <t>INSURANCE REIMBURSEMENT</t>
  </si>
  <si>
    <t>OUT GOING TRANSFER TO FOOD SERVICE</t>
  </si>
  <si>
    <t>INDIRECT RATE</t>
  </si>
  <si>
    <t>INDIRECT COST</t>
  </si>
  <si>
    <t>COMPUTER ADAPTIVE TEST</t>
  </si>
  <si>
    <t>EARLY LITERACY COACH - SALARY</t>
  </si>
  <si>
    <t>EARLY LITERACY COACH - INSURANCE</t>
  </si>
  <si>
    <t>EARLY LITERACY COACH - RETIREMENT</t>
  </si>
  <si>
    <t>EARLY LITERACY COACH - FICA</t>
  </si>
  <si>
    <t>SIGV 17-18</t>
  </si>
  <si>
    <t>MS/HS RETIREMENT</t>
  </si>
  <si>
    <t>CASH IN LIEU</t>
  </si>
  <si>
    <t>31211</t>
  </si>
  <si>
    <t>31221</t>
  </si>
  <si>
    <t>HEALTH INSURANCE</t>
  </si>
  <si>
    <t>31232</t>
  </si>
  <si>
    <t>GRADUATION SUPPLIES</t>
  </si>
  <si>
    <t>26241</t>
  </si>
  <si>
    <t>21141</t>
  </si>
  <si>
    <t>GSRP ADMINISTRATOR INSURANCE</t>
  </si>
  <si>
    <t>GSRP FISCAL INSURANCE</t>
  </si>
  <si>
    <t>GSRP FLEET INSURANCE</t>
  </si>
  <si>
    <t>01252</t>
  </si>
  <si>
    <t>01355</t>
  </si>
  <si>
    <t>01415</t>
  </si>
  <si>
    <t>SIG GRANT COHORT III 17-18</t>
  </si>
  <si>
    <t>.</t>
  </si>
  <si>
    <t>MS/HS  FICA</t>
  </si>
  <si>
    <t xml:space="preserve">PROGRAM COST </t>
  </si>
  <si>
    <t>13137</t>
  </si>
  <si>
    <t>21131</t>
  </si>
  <si>
    <t>SP ED CONFERENCES/WORKSHOPS</t>
  </si>
  <si>
    <t>32320</t>
  </si>
  <si>
    <t>FRONTINE-SUB MANAGEMENT</t>
  </si>
  <si>
    <t>34231</t>
  </si>
  <si>
    <t>PROFESSIONAL STAFF SERVICES</t>
  </si>
  <si>
    <t>41466</t>
  </si>
  <si>
    <t>44295</t>
  </si>
  <si>
    <t>OUT GOING TRANSFER TO SINKING FUND</t>
  </si>
  <si>
    <t>Other Central Support</t>
  </si>
  <si>
    <t>28X</t>
  </si>
  <si>
    <t>Computer Assist. Instruction</t>
  </si>
  <si>
    <t xml:space="preserve">RESOLVED, that this resolution shall be the general appropriations of Litchfield Community Schools for the </t>
  </si>
  <si>
    <t>2017/2018 Actual</t>
  </si>
  <si>
    <t>Food Service Transfer</t>
  </si>
  <si>
    <t>32221</t>
  </si>
  <si>
    <t>MAINT RETIREMENT</t>
  </si>
  <si>
    <t>MAINT FICA</t>
  </si>
  <si>
    <t>ELECTRICITY OUTDOOR FLOODLIGHTS</t>
  </si>
  <si>
    <t>ATHLETIC DIRECTOR RETIREMENT</t>
  </si>
  <si>
    <t>GSRP TRAVEL EXPENSES  RELATED TO PROFESSIONAL DEVELOPMENT</t>
  </si>
  <si>
    <t>11144</t>
  </si>
  <si>
    <t>12144</t>
  </si>
  <si>
    <t>21124</t>
  </si>
  <si>
    <t>35224</t>
  </si>
  <si>
    <t>32314</t>
  </si>
  <si>
    <t>MAINT. WORK COMP</t>
  </si>
  <si>
    <t xml:space="preserve">Title II </t>
  </si>
  <si>
    <t xml:space="preserve">Title IV </t>
  </si>
  <si>
    <t xml:space="preserve">SIG V </t>
  </si>
  <si>
    <t>01354</t>
  </si>
  <si>
    <t>GSRP PAID TUITION</t>
  </si>
  <si>
    <t>GSRP TUTITION PAID</t>
  </si>
  <si>
    <t>GSRP TUITION PAID</t>
  </si>
  <si>
    <t>MOTION MADE BY MEMBER:</t>
  </si>
  <si>
    <t>MOTION SECONDED BY MEMBER:</t>
  </si>
  <si>
    <t>AYES:</t>
  </si>
  <si>
    <t>NAYES:</t>
  </si>
  <si>
    <t>MOTION DECLARED ADOPTED ON:</t>
  </si>
  <si>
    <t>SIG V COHORT</t>
  </si>
  <si>
    <t>BUDGET</t>
  </si>
  <si>
    <t>GENERAL FUND</t>
  </si>
  <si>
    <t>TRANSFER TO FOOD SERVICE</t>
  </si>
  <si>
    <t>AT RISK CREDIT RECOVERY</t>
  </si>
  <si>
    <t>11625</t>
  </si>
  <si>
    <t>25235</t>
  </si>
  <si>
    <t>112664120</t>
  </si>
  <si>
    <t>AT RISK SECURITY EQUIPMENT</t>
  </si>
  <si>
    <t>PROGRAM COST PRIOR PERIOD</t>
  </si>
  <si>
    <t>GSRP TUITION</t>
  </si>
  <si>
    <t xml:space="preserve">Title V  </t>
  </si>
  <si>
    <t>SEC 147a(2) MPSRS NORMAL COST OFFSET</t>
  </si>
  <si>
    <t>51f SPECIAL EDUCATION COST REIMBURSEMENT</t>
  </si>
  <si>
    <t>ELEM TEACHER SUB</t>
  </si>
  <si>
    <t>ELEM OTHER PAY</t>
  </si>
  <si>
    <t>111121870</t>
  </si>
  <si>
    <t>111121970</t>
  </si>
  <si>
    <t>MS TEACHER SUB</t>
  </si>
  <si>
    <t>MS OTHER PAY</t>
  </si>
  <si>
    <t>HS TEACHER SUB</t>
  </si>
  <si>
    <t>HS OTHER PAY</t>
  </si>
  <si>
    <t>111131870</t>
  </si>
  <si>
    <t>111131970</t>
  </si>
  <si>
    <t>1111331903</t>
  </si>
  <si>
    <t>EARLY MIDDLE COLLEGE FACILITATOR</t>
  </si>
  <si>
    <t>EARLY MIDDLE COLLEGE TEXTBOOKS</t>
  </si>
  <si>
    <t>111135211</t>
  </si>
  <si>
    <t>1221790</t>
  </si>
  <si>
    <t>SP ED EXTRA PAY</t>
  </si>
  <si>
    <t>111223610</t>
  </si>
  <si>
    <t>111224220</t>
  </si>
  <si>
    <t>COPIER SUPPLIES</t>
  </si>
  <si>
    <t>COPIER LEASE</t>
  </si>
  <si>
    <t>112415990</t>
  </si>
  <si>
    <t>1124159908</t>
  </si>
  <si>
    <t>HS COPIER/PRINTER COST</t>
  </si>
  <si>
    <t>ELEM COPIER/PRINTER COST</t>
  </si>
  <si>
    <t>112413160</t>
  </si>
  <si>
    <t>POWER SCHOOL</t>
  </si>
  <si>
    <t>112523150</t>
  </si>
  <si>
    <t>CONTRACTED SERVICES - HR SERVICES</t>
  </si>
  <si>
    <t>112593220</t>
  </si>
  <si>
    <t>Transfer from Food Service</t>
  </si>
  <si>
    <t>Incoming Transfers and Others</t>
  </si>
  <si>
    <t xml:space="preserve">Incoming Transfers </t>
  </si>
  <si>
    <t>2018/2019 Actual</t>
  </si>
  <si>
    <t xml:space="preserve">REAP REVENUE </t>
  </si>
  <si>
    <t>INDIRECT RATE - SIS</t>
  </si>
  <si>
    <t>MS/HS HEALTH INSURANCE</t>
  </si>
  <si>
    <t>MS/HS PRINCIPAL CONTRACTED</t>
  </si>
  <si>
    <t>STAGES EVALUATION</t>
  </si>
  <si>
    <t>ELEM PRINCIPAL SALARY</t>
  </si>
  <si>
    <t>VOLLEYBALL TOURNAMENT FEES</t>
  </si>
  <si>
    <t>PROGRAM COST 18/19</t>
  </si>
  <si>
    <t>GSRP - CASH IN LIEU</t>
  </si>
  <si>
    <t>GSRP FAM &amp; PARENT ACTIVITY</t>
  </si>
  <si>
    <t>GSRP ASSOC TEACHER HEALTH INSURANCE</t>
  </si>
  <si>
    <t>114918910</t>
  </si>
  <si>
    <t>MISSED DEFERED REVENUE</t>
  </si>
  <si>
    <t>DONATIONS - ATHLETICS</t>
  </si>
  <si>
    <t>REIMBURSEENT - EMPLOYEE</t>
  </si>
  <si>
    <t>43321</t>
  </si>
  <si>
    <t>11-271-3190</t>
  </si>
  <si>
    <t>BUS DRIVER TRAINING</t>
  </si>
  <si>
    <t>11-271-3610</t>
  </si>
  <si>
    <t>COPIER COST</t>
  </si>
  <si>
    <t>11-284-3220</t>
  </si>
  <si>
    <t>MILEAGE</t>
  </si>
  <si>
    <t>11-284-3610</t>
  </si>
  <si>
    <t>COPIER LEASE/SUPPLIES</t>
  </si>
  <si>
    <t>CERTIFICATION FEE</t>
  </si>
  <si>
    <t>11-266-4121</t>
  </si>
  <si>
    <t>BUILDING SECURITY EQUIPENT</t>
  </si>
  <si>
    <t>13114</t>
  </si>
  <si>
    <t>11-241-1990</t>
  </si>
  <si>
    <t>241-1990</t>
  </si>
  <si>
    <t>MS/HS OVERTIME HOURS</t>
  </si>
  <si>
    <t>ELEM OVERTIME HOURS</t>
  </si>
  <si>
    <t>SP ED ELEM TEACHER SALARY</t>
  </si>
  <si>
    <t>25113</t>
  </si>
  <si>
    <t>25112</t>
  </si>
  <si>
    <t>SP ED HS TEACHER SALARY</t>
  </si>
  <si>
    <t>SP ED MS TEACHER SALARY</t>
  </si>
  <si>
    <t>SP ED HEALTH INSURANCE ELEM</t>
  </si>
  <si>
    <t>SP ED HEALTH INSURANCE MS</t>
  </si>
  <si>
    <t>SP ED HEALTH INSURANCE HS</t>
  </si>
  <si>
    <t>25122</t>
  </si>
  <si>
    <t>22121</t>
  </si>
  <si>
    <t>SP ED HS RETIREMENT</t>
  </si>
  <si>
    <t>SP ED MS RETIREMENT</t>
  </si>
  <si>
    <t>SP ED ELEM RETIREMENT</t>
  </si>
  <si>
    <t>SP ED HS FICA</t>
  </si>
  <si>
    <t>SP ED MS FICA</t>
  </si>
  <si>
    <t>251231</t>
  </si>
  <si>
    <t>CONTR SUB HS TEACHER</t>
  </si>
  <si>
    <t>CONTR SUB ELEM TEACHER</t>
  </si>
  <si>
    <t>CONTR SUB MS TEACHER</t>
  </si>
  <si>
    <t>251341</t>
  </si>
  <si>
    <t>11153</t>
  </si>
  <si>
    <t>GSRP  FINGERPRINTING &amp; TB TESTING</t>
  </si>
  <si>
    <t>GSRP PRE-SCHOOL ASSOCIATE TEACHER - OTHER STAFF</t>
  </si>
  <si>
    <t>GSRP HOME VISIT MILEAGE</t>
  </si>
  <si>
    <t>GSRP APPLICATIONS FOR IPADS</t>
  </si>
  <si>
    <t>GSRP IPADS</t>
  </si>
  <si>
    <t>GRPR FIELD TRIPS</t>
  </si>
  <si>
    <t>GSRP STORAGE</t>
  </si>
  <si>
    <t>GSRP MEMBERSHIPS DUES</t>
  </si>
  <si>
    <t>AT RISK CURRIC &amp; INSTRUCTIONAL LEADER WAGES (Contracted)</t>
  </si>
  <si>
    <t>SUB CUSTODIAN WAGES</t>
  </si>
  <si>
    <t>PROGRAM COST 19/20</t>
  </si>
  <si>
    <t>11224</t>
  </si>
  <si>
    <t>112193110</t>
  </si>
  <si>
    <t>SUB COST MONITOR</t>
  </si>
  <si>
    <t>112611860</t>
  </si>
  <si>
    <t>PROG A 22a FOUNDATION ALLOWANCE</t>
  </si>
  <si>
    <t>AT RISK - LICENSES FEES</t>
  </si>
  <si>
    <t>AT RISK TEACHING SUPPLIES</t>
  </si>
  <si>
    <t>11-125-3120</t>
  </si>
  <si>
    <t>AT RISK BLULE PRINT MATH</t>
  </si>
  <si>
    <t>113123140</t>
  </si>
  <si>
    <t>35a(9) SUMMER READING PROGRAM</t>
  </si>
  <si>
    <t>SUMMER READING PROGRAM</t>
  </si>
  <si>
    <t>Summer Reading Program</t>
  </si>
  <si>
    <t>11-261-5990</t>
  </si>
  <si>
    <t>25123</t>
  </si>
  <si>
    <t>32222</t>
  </si>
  <si>
    <t>25121</t>
  </si>
  <si>
    <t>71013</t>
  </si>
  <si>
    <t>SIG GRANT COHORT V (Yr.5)</t>
  </si>
  <si>
    <t>TITLE I REVENUE (20/21)</t>
  </si>
  <si>
    <t>TITLE II REVENUE (20/21)</t>
  </si>
  <si>
    <t>PROGRAM COST 20/21</t>
  </si>
  <si>
    <t>REAP GRANT 2019</t>
  </si>
  <si>
    <t>BUDGET SUMMARY</t>
  </si>
  <si>
    <t>State Aid Calculation</t>
  </si>
  <si>
    <t>Membership:</t>
  </si>
  <si>
    <t>Fall GE FTE</t>
  </si>
  <si>
    <t>(A1)</t>
  </si>
  <si>
    <t>SRSD Fall GE Membership FTE</t>
  </si>
  <si>
    <t>Spring GE FTE</t>
  </si>
  <si>
    <t>(A2)</t>
  </si>
  <si>
    <t>SRSD Spring GE Membership FTE</t>
  </si>
  <si>
    <t xml:space="preserve"> Blended GE FTE</t>
  </si>
  <si>
    <t>(A3)</t>
  </si>
  <si>
    <t>90% Fall GE FTE(A1) + 10% Spring GE FTE(A2)</t>
  </si>
  <si>
    <t>Fall SE FTE</t>
  </si>
  <si>
    <t>(B1)</t>
  </si>
  <si>
    <t>SRSD Fall SE Membership FTE</t>
  </si>
  <si>
    <t>Spring SE FTE</t>
  </si>
  <si>
    <t>(B2)</t>
  </si>
  <si>
    <t>SRSD Spring SE Membership FTE</t>
  </si>
  <si>
    <t xml:space="preserve"> Blended SE FTE</t>
  </si>
  <si>
    <t>(B3)</t>
  </si>
  <si>
    <t>90% Fall SE FTE(B1) + 10% Spring SE FTE(B2)</t>
  </si>
  <si>
    <t>Total FTE BLEND</t>
  </si>
  <si>
    <t>C</t>
  </si>
  <si>
    <t>Add GE blend (A3) + SE blend (B3)</t>
  </si>
  <si>
    <t>Taxable Value Information</t>
  </si>
  <si>
    <t>Non-PRE Taxable Value</t>
  </si>
  <si>
    <t>(D1)</t>
  </si>
  <si>
    <t>Enter Current Non-PRE Value from Status Report</t>
  </si>
  <si>
    <t>Millage Rate</t>
  </si>
  <si>
    <t>E</t>
  </si>
  <si>
    <t>Comm. PP Taxable Value</t>
  </si>
  <si>
    <t>(D2)</t>
  </si>
  <si>
    <t>Enter Current Comm PP Value from Status Report</t>
  </si>
  <si>
    <t>F</t>
  </si>
  <si>
    <t>Local Revenue From Millage</t>
  </si>
  <si>
    <t>G</t>
  </si>
  <si>
    <t>This should be consistent with amount reported on the Local Revenue Worksheet under Major Class 111 (Line 2, Column H)</t>
  </si>
  <si>
    <t>Foundation Information</t>
  </si>
  <si>
    <t>Foundation Allowance</t>
  </si>
  <si>
    <t>(H1)</t>
  </si>
  <si>
    <t>Maximum Fdtn</t>
  </si>
  <si>
    <t>(H2)</t>
  </si>
  <si>
    <t>State Share ((lesser of H1,H2)-(G/A3)))</t>
  </si>
  <si>
    <t>(I)</t>
  </si>
  <si>
    <t>Foundation Allowance - Local Share of Foundation Allowance</t>
  </si>
  <si>
    <t>Local Share ((G)/A3)</t>
  </si>
  <si>
    <t>(J)</t>
  </si>
  <si>
    <t>NH Property Value times Millage Rate (D1*E+D2*F) divided by GE FTE Blend</t>
  </si>
  <si>
    <t>1995 Foundation Allowance</t>
  </si>
  <si>
    <t>(K1)</t>
  </si>
  <si>
    <t>Maximum 1995 Fdtn.</t>
  </si>
  <si>
    <t>(K2)</t>
  </si>
  <si>
    <t>State Share of 1995 ((lesser of K1, K2)-((G)/C)))</t>
  </si>
  <si>
    <t>(L)</t>
  </si>
  <si>
    <t>NH Property Value times Millage Rate (D1*E+D2*F) divided by Total FTE Blend</t>
  </si>
  <si>
    <t>SE Obligation</t>
  </si>
  <si>
    <t>SE Costs</t>
  </si>
  <si>
    <t>(M1)</t>
  </si>
  <si>
    <r>
      <t>Estimated</t>
    </r>
    <r>
      <rPr>
        <sz val="10"/>
        <rFont val="Arial"/>
        <family val="2"/>
      </rPr>
      <t xml:space="preserve"> SE4096</t>
    </r>
  </si>
  <si>
    <t>SE Transportation Costs</t>
  </si>
  <si>
    <t>(M2)</t>
  </si>
  <si>
    <r>
      <t>Estimated</t>
    </r>
    <r>
      <rPr>
        <sz val="10"/>
        <rFont val="Arial"/>
        <family val="2"/>
      </rPr>
      <t xml:space="preserve"> SE4094</t>
    </r>
  </si>
  <si>
    <t>1997 Section 52</t>
  </si>
  <si>
    <t>(M3)</t>
  </si>
  <si>
    <t>Information Available on State Aid Aid Website http://www.michigan.gov/documents/mde/Copy_of_sehh_79613_7_604518_7.xlsx</t>
  </si>
  <si>
    <t>1997 Section 58</t>
  </si>
  <si>
    <t>(M4)</t>
  </si>
  <si>
    <t>Original SE Hold Harmless Amt.</t>
  </si>
  <si>
    <t>(M5)</t>
  </si>
  <si>
    <t>Current SE Costs (M1) x.0633359998</t>
  </si>
  <si>
    <t>(M6)</t>
  </si>
  <si>
    <t>Current cost x rate used to determine FY97 amount</t>
  </si>
  <si>
    <t xml:space="preserve">Adjusted Sect. 52 HH level </t>
  </si>
  <si>
    <t>(M7)</t>
  </si>
  <si>
    <t>lesser of M3 &amp; M6</t>
  </si>
  <si>
    <t>Current SE trans cost (M2) x .704165</t>
  </si>
  <si>
    <t>(M8)</t>
  </si>
  <si>
    <t>Adjusted Sect. 58 HH level</t>
  </si>
  <si>
    <t>(M9)</t>
  </si>
  <si>
    <t>lesser of M4 &amp; M8</t>
  </si>
  <si>
    <t>Adjusted SEHH level</t>
  </si>
  <si>
    <t>(M10)</t>
  </si>
  <si>
    <t>SE Hold Harmless Amt.</t>
  </si>
  <si>
    <t>Calculations:</t>
  </si>
  <si>
    <t>CY Calculation Info:</t>
  </si>
  <si>
    <t>Section 20 (L x A3)</t>
  </si>
  <si>
    <t>N1</t>
  </si>
  <si>
    <t>CY State Share Times GE Blend FTE</t>
  </si>
  <si>
    <t xml:space="preserve">Adj for GE Non Residents </t>
  </si>
  <si>
    <t>N2</t>
  </si>
  <si>
    <t>Estimated Adj. For Non Resident</t>
  </si>
  <si>
    <t>Total Section 20 GE Fndtn.</t>
  </si>
  <si>
    <t>N3</t>
  </si>
  <si>
    <t>(N1+N2)</t>
  </si>
  <si>
    <t>SE Fdtn. (lesser of H1, H2 xB3)</t>
  </si>
  <si>
    <t>O1</t>
  </si>
  <si>
    <t>CY Foundation Times SE Blend FTE</t>
  </si>
  <si>
    <t>Adj for SE Non Residents</t>
  </si>
  <si>
    <t>O2</t>
  </si>
  <si>
    <t>Total SE Fndtn.</t>
  </si>
  <si>
    <t>O3</t>
  </si>
  <si>
    <t>(O1+O2)</t>
  </si>
  <si>
    <t>51a Special Ed Costs *.286138</t>
  </si>
  <si>
    <t>P1</t>
  </si>
  <si>
    <t>State Obligation for Special Education Costs</t>
  </si>
  <si>
    <t>51a Special Ed Trans Cost *.704165</t>
  </si>
  <si>
    <t>P2</t>
  </si>
  <si>
    <t>State Obligation for Special Education Transportation</t>
  </si>
  <si>
    <t>State Obligation for SE Costs</t>
  </si>
  <si>
    <t>P3</t>
  </si>
  <si>
    <t>Total of P1 + P2</t>
  </si>
  <si>
    <t>Section 51.a3 Hold Harmless</t>
  </si>
  <si>
    <t>Difference between (M5- (P3-O3)) or 0 if negative</t>
  </si>
  <si>
    <t>P4</t>
  </si>
  <si>
    <t>Total CY State Fdtn &amp; SE Oblig.</t>
  </si>
  <si>
    <t>((N3+O3)+(P3-O1)+(P4)</t>
  </si>
  <si>
    <t>Q</t>
  </si>
  <si>
    <t>Breakdown of Foundation and SE Obligation</t>
  </si>
  <si>
    <t>Section 22a - Proposal A (L*C)</t>
  </si>
  <si>
    <t>R</t>
  </si>
  <si>
    <t>Proposal A Obligation</t>
  </si>
  <si>
    <t>Section 51c (P3)</t>
  </si>
  <si>
    <t>(P3)</t>
  </si>
  <si>
    <t>Special Education Obligation based on SE Costs</t>
  </si>
  <si>
    <t>Section 22b (Q-R-P3)</t>
  </si>
  <si>
    <t>S</t>
  </si>
  <si>
    <t>Discretionary Payment</t>
  </si>
  <si>
    <t>Notes:</t>
  </si>
  <si>
    <t>Guidance Counselor</t>
  </si>
  <si>
    <t>Career Access Planning</t>
  </si>
  <si>
    <t>COVID-19 ESSER</t>
  </si>
  <si>
    <t>74522.</t>
  </si>
  <si>
    <t>745265</t>
  </si>
  <si>
    <t>75492</t>
  </si>
  <si>
    <t>01356</t>
  </si>
  <si>
    <t>113121</t>
  </si>
  <si>
    <t>113120120</t>
  </si>
  <si>
    <t>114147640</t>
  </si>
  <si>
    <t>11414321</t>
  </si>
  <si>
    <t>114145</t>
  </si>
  <si>
    <t>INDIRECT RATE - Title II (2020/2021)</t>
  </si>
  <si>
    <t>SIG (2020-2021)</t>
  </si>
  <si>
    <t>2019/2020 Actual</t>
  </si>
  <si>
    <t>1131110</t>
  </si>
  <si>
    <t>11d REVENUE SHORT FALL REDUCTION</t>
  </si>
  <si>
    <t>CONTRACTED EXTRA DUTIES</t>
  </si>
  <si>
    <t>13138</t>
  </si>
  <si>
    <t>INTEREST EXPENSE BANK NOTE</t>
  </si>
  <si>
    <t>BUS RETIREMENT</t>
  </si>
  <si>
    <t>BUS FICA</t>
  </si>
  <si>
    <t>COACHES</t>
  </si>
  <si>
    <t>RETIREMENT - COACHES</t>
  </si>
  <si>
    <t>FICA COACHES</t>
  </si>
  <si>
    <t>OFFICIALS</t>
  </si>
  <si>
    <t>WORKERS COMP - ATHLETIC</t>
  </si>
  <si>
    <t>74393</t>
  </si>
  <si>
    <t>GAME CLOCK/BOOK EXPENSE</t>
  </si>
  <si>
    <t>71941</t>
  </si>
  <si>
    <t>111253450</t>
  </si>
  <si>
    <t>AT RISK LICENSES FEE</t>
  </si>
  <si>
    <t>GSRP SUB LEAD TEACHER</t>
  </si>
  <si>
    <t>GSRP SUB ASSOCIATE TEACHER</t>
  </si>
  <si>
    <t>GSRP BUS LEASE</t>
  </si>
  <si>
    <t>GSRP ASSOCIATE TEACHER OTHER STAFF FICA</t>
  </si>
  <si>
    <t>GSRP LICENSING FEES</t>
  </si>
  <si>
    <t>01291</t>
  </si>
  <si>
    <t>SETSEG SAFETY GRANT</t>
  </si>
  <si>
    <t>11414251</t>
  </si>
  <si>
    <t>11p CORNAVIRUS RELEIF FUND</t>
  </si>
  <si>
    <t>GEER</t>
  </si>
  <si>
    <t>STATE OF MICHIGAN</t>
  </si>
  <si>
    <t>State Aid Financial Status Report</t>
  </si>
  <si>
    <t>Standard Calculation</t>
  </si>
  <si>
    <t>District #</t>
  </si>
  <si>
    <t>State Aid Membership</t>
  </si>
  <si>
    <t xml:space="preserve">General ED K-12 </t>
  </si>
  <si>
    <t>Name</t>
  </si>
  <si>
    <t>23a:</t>
  </si>
  <si>
    <t>Current Year Foundation</t>
  </si>
  <si>
    <t>Special ED K-12 Sec 52</t>
  </si>
  <si>
    <t>FY 1995 Foundation</t>
  </si>
  <si>
    <t>Special ED K-12 Sec 53</t>
  </si>
  <si>
    <t>Amount</t>
  </si>
  <si>
    <t>Mills</t>
  </si>
  <si>
    <t>Revenue</t>
  </si>
  <si>
    <t>Non-Pre TV</t>
  </si>
  <si>
    <t>Comm PP TV</t>
  </si>
  <si>
    <t>Assumed Local Revenue</t>
  </si>
  <si>
    <t>Local Revenue Per GE</t>
  </si>
  <si>
    <t>Special Ed. Costs</t>
  </si>
  <si>
    <t>Local Revenue Per Membership</t>
  </si>
  <si>
    <t>Special Ed. Transp. Costs</t>
  </si>
  <si>
    <t>CURRENT YEAR ALLOWANCES</t>
  </si>
  <si>
    <t>22a/11(3)</t>
  </si>
  <si>
    <t>PROP A OBLIGATION/PSA PROTECTED</t>
  </si>
  <si>
    <t>State PP =</t>
  </si>
  <si>
    <t>51c</t>
  </si>
  <si>
    <t>SPEC ED HEADLEE OBLIGATION</t>
  </si>
  <si>
    <t>22b</t>
  </si>
  <si>
    <t>31A</t>
  </si>
  <si>
    <t>147a</t>
  </si>
  <si>
    <t>MPSERS COST OFFEST</t>
  </si>
  <si>
    <t>147c</t>
  </si>
  <si>
    <t>MPSERS UAAL RATE STABILIZATION</t>
  </si>
  <si>
    <t>61a.1</t>
  </si>
  <si>
    <t>VOCATIONAL EDUCATION</t>
  </si>
  <si>
    <t>20f</t>
  </si>
  <si>
    <t>HOLD HARMLESS GUARANTEE</t>
  </si>
  <si>
    <t>152a</t>
  </si>
  <si>
    <t>HEADLEE OBLIGATION FOR DATA COLLECTION</t>
  </si>
  <si>
    <t>31d</t>
  </si>
  <si>
    <t>SCHOOL LUNCH</t>
  </si>
  <si>
    <t>Enter Additional Categoricals As Necessary</t>
  </si>
  <si>
    <t>Enter Prior Year Adjustments (Typically Found on Second Page of Status Report)</t>
  </si>
  <si>
    <t>SUBTOTALS</t>
  </si>
  <si>
    <t>OTHER CURRENT YEAR CALCULATION INFORMATION</t>
  </si>
  <si>
    <t>20</t>
  </si>
  <si>
    <t>FOUNDATION GRANT</t>
  </si>
  <si>
    <t>20(5) Adjustment:</t>
  </si>
  <si>
    <t>51a.2</t>
  </si>
  <si>
    <t>SPECIAL ED FOUNDATION (SEC 52)</t>
  </si>
  <si>
    <t>51a.3</t>
  </si>
  <si>
    <t>SPECIAL ED HOLD HARMLESS</t>
  </si>
  <si>
    <t>51a.12</t>
  </si>
  <si>
    <t>SPECIAL ED FOUNDATION (NON-SEC 52)</t>
  </si>
  <si>
    <t>51a</t>
  </si>
  <si>
    <t>SPECIAL EDUCATION (Categorical Amount)</t>
  </si>
  <si>
    <t>Adjusted Section 52 Hold Harmless Level</t>
  </si>
  <si>
    <t>(Line Item E)</t>
  </si>
  <si>
    <t>Information Available on State Aid Aid Website</t>
  </si>
  <si>
    <t>Adjusted Section 58 Hold Harmless Level</t>
  </si>
  <si>
    <t>(Line Item F)</t>
  </si>
  <si>
    <t>https://mdoe.state.mi.us/SAMSPublic/Report#/SpecialEdHoldHarmlessDetails</t>
  </si>
  <si>
    <t>Litchfield Community Schools</t>
  </si>
  <si>
    <t>113112</t>
  </si>
  <si>
    <t>11d PER PUPIL INCREASE</t>
  </si>
  <si>
    <t>HS CASH IN-LIEU</t>
  </si>
  <si>
    <t>DISTRICT COVID COST</t>
  </si>
  <si>
    <t>HCCF</t>
  </si>
  <si>
    <t>01220</t>
  </si>
  <si>
    <t>DISTRCIT COVID COST</t>
  </si>
  <si>
    <t>HCCF GRANT</t>
  </si>
  <si>
    <t>COVID RELIEF FUND</t>
  </si>
  <si>
    <t>COVID REFLIEF FUND</t>
  </si>
  <si>
    <t>COVID Relief Fund</t>
  </si>
  <si>
    <t>District Covid Cost</t>
  </si>
  <si>
    <t>HCCF Grant</t>
  </si>
  <si>
    <t>Other Incoming Revenue</t>
  </si>
  <si>
    <t>Set Seg Safety Grant</t>
  </si>
  <si>
    <t>29a INCREASING ENROLLMENT</t>
  </si>
  <si>
    <t>01334</t>
  </si>
  <si>
    <t>43317</t>
  </si>
  <si>
    <t>SALARY TRAINER</t>
  </si>
  <si>
    <t>MICONNECT CONNECTIVITY GRANT</t>
  </si>
  <si>
    <t>MiConnect Connectivity Grant</t>
  </si>
  <si>
    <t>04144</t>
  </si>
  <si>
    <t>SALARY - TEACHER</t>
  </si>
  <si>
    <t xml:space="preserve">INSURANCE </t>
  </si>
  <si>
    <t>RETIREMENT</t>
  </si>
  <si>
    <t>PPE SUPPLIES</t>
  </si>
  <si>
    <t>04145</t>
  </si>
  <si>
    <t>11145</t>
  </si>
  <si>
    <t>33216</t>
  </si>
  <si>
    <t>INDIRECT RATE -PRIOR YEARS TITLE I</t>
  </si>
  <si>
    <t>INDIRECT RATE - PRIOR YEAS Title II</t>
  </si>
  <si>
    <t>INDIRECT RATE - PRIOR YEARS Title IV</t>
  </si>
  <si>
    <t>INDIRECT RATE - Title IV (2020/2021)</t>
  </si>
  <si>
    <t>INDIRECT RATE - PRIOR YEARS Title V</t>
  </si>
  <si>
    <t>INDIRECT RATE - SIG PRIOR YEARS</t>
  </si>
  <si>
    <t>GSRP ASSOCIATE TEACHER RETIREMENT - OTHER STAFF</t>
  </si>
  <si>
    <t>GSRP MEAL COST</t>
  </si>
  <si>
    <t>GSRP ASSESSMENT MATERIALS</t>
  </si>
  <si>
    <t>GSRP POSTAGE</t>
  </si>
  <si>
    <r>
      <t>GSRP B</t>
    </r>
    <r>
      <rPr>
        <sz val="11"/>
        <rFont val="Arial"/>
        <family val="2"/>
      </rPr>
      <t>U</t>
    </r>
    <r>
      <rPr>
        <sz val="10"/>
        <rFont val="Arial"/>
        <family val="2"/>
      </rPr>
      <t>S DIVER WAGES - FIELD TRIPS</t>
    </r>
  </si>
  <si>
    <t>GSRP BUS DRIVER RETIREMENT - FIELD TRIPS</t>
  </si>
  <si>
    <t>GSRP BUS DRIVER FICA - FIELD TRIPS</t>
  </si>
  <si>
    <t>GSRP FUEL - FIELD TRIPS</t>
  </si>
  <si>
    <t>GSRP MEETING SUPPLIES</t>
  </si>
  <si>
    <t>PROGRAM COST PRIOR YEARS</t>
  </si>
  <si>
    <t>11414121</t>
  </si>
  <si>
    <t>111111870</t>
  </si>
  <si>
    <t>111111970</t>
  </si>
  <si>
    <t>251221</t>
  </si>
  <si>
    <t>71915</t>
  </si>
  <si>
    <t>02571</t>
  </si>
  <si>
    <t xml:space="preserve">DONATIONS  </t>
  </si>
  <si>
    <t>FOR THE FISCAL YEAR 2021/2022</t>
  </si>
  <si>
    <t>For the Fiscal Year 2021/2022</t>
  </si>
  <si>
    <t>TITLE I REVENUE (21/22)</t>
  </si>
  <si>
    <t>TITLE I REVENUE Prior Years</t>
  </si>
  <si>
    <t>TITLE II REVENUE (21/22)</t>
  </si>
  <si>
    <t>TITLE IIA REVENUE Prior Years</t>
  </si>
  <si>
    <t>TITLE IV REVENUE (20/21)</t>
  </si>
  <si>
    <t>TITLE IV REVENUE Prior Years</t>
  </si>
  <si>
    <t>SIG GRANT COHORT V Prior Year</t>
  </si>
  <si>
    <t>TITLE IV REVENUE (21/22)</t>
  </si>
  <si>
    <t>INDIRECT RATE - Title I</t>
  </si>
  <si>
    <t>AMENDED 2021-2022</t>
  </si>
  <si>
    <t>fiscal year 2021/2022; A resolution to make appropriations; to provide for the expenditure</t>
  </si>
  <si>
    <t>fiscal year 2021/2022 is as follows:</t>
  </si>
  <si>
    <t>Estimated Ending Fund Balance 6/30/22</t>
  </si>
  <si>
    <t>This appropriation is effective for the 2021/2022 fiscal year.</t>
  </si>
  <si>
    <t>01357</t>
  </si>
  <si>
    <t xml:space="preserve">EMPLOYER CONTRIB FORFIETURE </t>
  </si>
  <si>
    <t>WAGES &amp; BENEFITS</t>
  </si>
  <si>
    <t>43143</t>
  </si>
  <si>
    <t>SUPPLIES - GROUNDS</t>
  </si>
  <si>
    <t>MS CONTRACT TEACHER (M. BURGER)</t>
  </si>
  <si>
    <t>13147</t>
  </si>
  <si>
    <t>HS CONTRACT TEACHER (M. BURGER)</t>
  </si>
  <si>
    <t>ESSER II</t>
  </si>
  <si>
    <t>ESSERIII</t>
  </si>
  <si>
    <t>REAP GRANT 2022</t>
  </si>
  <si>
    <t>ESSER III</t>
  </si>
  <si>
    <t>221</t>
  </si>
  <si>
    <t>11411</t>
  </si>
  <si>
    <t>01511</t>
  </si>
  <si>
    <t>Other Incoming Revenue - ISD TRANSPORTATION</t>
  </si>
  <si>
    <t>13148</t>
  </si>
  <si>
    <t>UNEMPLOYEMENTR</t>
  </si>
  <si>
    <t>SP ED CASH IN LIEU - HS</t>
  </si>
  <si>
    <t>SP ED CASH IN LIEU - MS</t>
  </si>
  <si>
    <t>25117</t>
  </si>
  <si>
    <t>25116</t>
  </si>
  <si>
    <t>25115</t>
  </si>
  <si>
    <t>25118</t>
  </si>
  <si>
    <t>SCHEDULE B - HS</t>
  </si>
  <si>
    <t>25119</t>
  </si>
  <si>
    <t>SCHEDULE B - ELEM</t>
  </si>
  <si>
    <t>SP ED CASH IN LIEU - ELEM</t>
  </si>
  <si>
    <t>21135</t>
  </si>
  <si>
    <t>23135</t>
  </si>
  <si>
    <t>21136</t>
  </si>
  <si>
    <t>CONTR MS TEACHER</t>
  </si>
  <si>
    <t>CONTR HS TEACHER</t>
  </si>
  <si>
    <t>CONTR ELEM TEACHER</t>
  </si>
  <si>
    <t>73692</t>
  </si>
  <si>
    <t>BASEBALL TOURNAMENT FEES</t>
  </si>
  <si>
    <t>33416</t>
  </si>
  <si>
    <t>MISC. EXPENSES</t>
  </si>
  <si>
    <t>2021-2022</t>
  </si>
  <si>
    <t>114146</t>
  </si>
  <si>
    <t>11-414-4850</t>
  </si>
  <si>
    <t>11-414-4350</t>
  </si>
  <si>
    <t>11-111-1990</t>
  </si>
  <si>
    <t>11-611-4850</t>
  </si>
  <si>
    <t>11-125-3450</t>
  </si>
  <si>
    <t>General Education Fund Budget</t>
  </si>
  <si>
    <t xml:space="preserve">2021-2022 Approved Budget </t>
  </si>
  <si>
    <t xml:space="preserve">2021-2022 Amended Budget </t>
  </si>
  <si>
    <t>Supplemental Spring 21</t>
  </si>
  <si>
    <t>Supplemental</t>
  </si>
  <si>
    <t>Fall</t>
  </si>
  <si>
    <t>30040</t>
  </si>
  <si>
    <t>01358</t>
  </si>
  <si>
    <t>31n(12) Train the Trainer</t>
  </si>
  <si>
    <t>2020/2021 Actual</t>
  </si>
  <si>
    <t>33192</t>
  </si>
  <si>
    <t>BOARD WORKSHOPS AND TRAININGS</t>
  </si>
  <si>
    <t>GROUNDS - REPAIRS/MAINTENANCE</t>
  </si>
  <si>
    <t>74523</t>
  </si>
  <si>
    <t>RETIREMENT -GAME MANAGEMENT</t>
  </si>
  <si>
    <t>FICA -GAME MANAGEMENT</t>
  </si>
  <si>
    <t>72724</t>
  </si>
  <si>
    <t>11626</t>
  </si>
  <si>
    <t>AT RISK PROF DEVELOPMENT SUPPLIES</t>
  </si>
  <si>
    <t>25236</t>
  </si>
  <si>
    <t>AT RISK CREDIT INTERNET HOTSPOTS</t>
  </si>
  <si>
    <t>11284599084</t>
  </si>
  <si>
    <t>AT RISK TECHNOLOGY SUPPLIES</t>
  </si>
  <si>
    <t>TRAIN THE TRAINER</t>
  </si>
  <si>
    <t>Train The Trainer</t>
  </si>
  <si>
    <t>REAP GRANT 2021</t>
  </si>
  <si>
    <t>35225</t>
  </si>
  <si>
    <t>112841790</t>
  </si>
  <si>
    <t>SALARY PAYOUT</t>
  </si>
  <si>
    <t>TECHNOLOGY ASSISTANT</t>
  </si>
  <si>
    <t>72293</t>
  </si>
  <si>
    <t>SCHEDULE STAR PROGRAM</t>
  </si>
  <si>
    <t>Fund Balance July 1, 2021</t>
  </si>
  <si>
    <t>11--1790</t>
  </si>
  <si>
    <t>ELEM PERSONAL TIME PAYOUT</t>
  </si>
  <si>
    <t>CONTRACT HS SECRETARY</t>
  </si>
  <si>
    <t>32331</t>
  </si>
  <si>
    <t>32332</t>
  </si>
  <si>
    <t>DUES AND FEES ELEM</t>
  </si>
  <si>
    <t>DUES AND FEES SECONDARY</t>
  </si>
  <si>
    <t>44225</t>
  </si>
  <si>
    <t>44144</t>
  </si>
  <si>
    <t>FURNITURE NON DEPRECIABLE</t>
  </si>
  <si>
    <t>35232</t>
  </si>
  <si>
    <t>SOFTWARE/LICENSES</t>
  </si>
  <si>
    <t>11-221-31209</t>
  </si>
  <si>
    <t>PROFESSIONAL DEVELOP - INS</t>
  </si>
  <si>
    <t>22X</t>
  </si>
  <si>
    <t>SALARY - PAYOUT</t>
  </si>
  <si>
    <t>DUES AND FEES</t>
  </si>
  <si>
    <t>13139</t>
  </si>
  <si>
    <t>LICENSING FEES</t>
  </si>
  <si>
    <t>13149</t>
  </si>
  <si>
    <t>32233</t>
  </si>
  <si>
    <t>CONTRACT ELM SECRETARY</t>
  </si>
  <si>
    <t>TECHNOLOGY SUPPLIES</t>
  </si>
  <si>
    <t>Difference between      2021-2021 and              Amended 2021-2022</t>
  </si>
  <si>
    <t>$8,700 STATE AID</t>
  </si>
  <si>
    <t>BUS DRIVER CLOTHING</t>
  </si>
  <si>
    <t>01221</t>
  </si>
  <si>
    <t>MISC. REIMBURSEMENTS</t>
  </si>
  <si>
    <t>SCHOOL WELLNESS GRANT</t>
  </si>
  <si>
    <t>11146</t>
  </si>
  <si>
    <t>SP ED TEACHING SUPPLIES</t>
  </si>
  <si>
    <t>43335</t>
  </si>
  <si>
    <r>
      <rPr>
        <b/>
        <i/>
        <sz val="9"/>
        <color indexed="8"/>
        <rFont val="Times New Roman"/>
        <family val="1"/>
      </rPr>
      <t>LOCAL SOURCES</t>
    </r>
    <r>
      <rPr>
        <sz val="9"/>
        <color indexed="8"/>
        <rFont val="Times New Roman"/>
        <family val="1"/>
      </rPr>
      <t xml:space="preserve">    - Increase in property taxes</t>
    </r>
  </si>
  <si>
    <t xml:space="preserve">                                     - Increase in Insurance reimbursement due to Michigan Catastrophic claim reimbursement</t>
  </si>
  <si>
    <t xml:space="preserve">                                     - Increase in contributions due to donations for school supplies by alumni (Expense will also increase)</t>
  </si>
  <si>
    <t xml:space="preserve">                                      - Increase in State grants.  (Revenues equal Expenditures)</t>
  </si>
  <si>
    <r>
      <t>EXPENDITURES       - De</t>
    </r>
    <r>
      <rPr>
        <sz val="9"/>
        <color indexed="8"/>
        <rFont val="Times New Roman"/>
        <family val="1"/>
      </rPr>
      <t>crease in Elementary due to teachers being paid through ESSER grant</t>
    </r>
  </si>
  <si>
    <t xml:space="preserve">                                    -  Increase in sub teacher pay on all levels due to shortage of subs</t>
  </si>
  <si>
    <t xml:space="preserve">                                    -  Increase in Retirement all levels due to Stabilization rate increase</t>
  </si>
  <si>
    <t xml:space="preserve">                                    -  Increase in Superintendent due to Mr. Corey now a full time Superintendent</t>
  </si>
  <si>
    <t xml:space="preserve">                                    -  Increase in Principal due to hiring a full time Principal</t>
  </si>
  <si>
    <t xml:space="preserve">                                    -  Increase in Maintenance due to cost of 3 full time Custodians</t>
  </si>
  <si>
    <t xml:space="preserve">                                    -  Increase in Support Services due to Para pros no longer paid through SIG Grant</t>
  </si>
  <si>
    <t xml:space="preserve">                                    -  Increase in At Risk due to increase in State Aid (Revenue equal Expenditures)</t>
  </si>
  <si>
    <t xml:space="preserve">                                    -  Increase in GSRP due to the amount of carryover being more than anticipated (Revenue equals Expenditures)</t>
  </si>
  <si>
    <t xml:space="preserve">                                    -  Decrease in Computer Assisted Instruction due to resignation of Technology employee</t>
  </si>
  <si>
    <t xml:space="preserve">                                          - Increase in carryover amount for SIG (Revenue equals Expenditure)</t>
  </si>
  <si>
    <r>
      <rPr>
        <b/>
        <i/>
        <sz val="9"/>
        <color indexed="8"/>
        <rFont val="Times New Roman"/>
        <family val="1"/>
      </rPr>
      <t>FEDERAL SOURCES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- Increase in Federal Funds ESSER II and ESSER II (Revenue Equals Expenditure)</t>
    </r>
  </si>
  <si>
    <t>Professional Develop - Instruction</t>
  </si>
  <si>
    <t>Fall 22</t>
  </si>
  <si>
    <t>BASED ON 274 STUDENT COUNT</t>
  </si>
  <si>
    <r>
      <rPr>
        <b/>
        <i/>
        <sz val="9"/>
        <color indexed="8"/>
        <rFont val="Times New Roman"/>
        <family val="1"/>
      </rPr>
      <t>STATE SOURCES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   - Increase in Foundation Allowance estimated increase $469 based on 274 (3 year blended count</t>
    </r>
  </si>
  <si>
    <t>)</t>
  </si>
  <si>
    <t xml:space="preserve">                                     - Increase in Kroon Center revenue due to increase in utility cost being used by HCISD</t>
  </si>
  <si>
    <t>BE IT FURTHER RESOLVED, that $5,607,818 of the total available to appropriate in the</t>
  </si>
  <si>
    <t>AMENDED</t>
  </si>
  <si>
    <t>113120020</t>
  </si>
  <si>
    <t>01376</t>
  </si>
  <si>
    <t>01240</t>
  </si>
  <si>
    <t>01359</t>
  </si>
  <si>
    <t>11-4141</t>
  </si>
  <si>
    <t>11414</t>
  </si>
  <si>
    <t>25111</t>
  </si>
  <si>
    <t>32232</t>
  </si>
  <si>
    <t>43212</t>
  </si>
  <si>
    <t>11-284-5990</t>
  </si>
  <si>
    <t>73693</t>
  </si>
  <si>
    <t>m</t>
  </si>
  <si>
    <t>611-4350-22</t>
  </si>
  <si>
    <t>C. ABBEG</t>
  </si>
  <si>
    <t>M. MILLER</t>
  </si>
  <si>
    <t>AMENDED 4/26/2022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</si>
</sst>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_);\(0\)"/>
    <numFmt numFmtId="167" formatCode="[$-409]mmmm\ d\,\ yyyy;@"/>
    <numFmt numFmtId="168" formatCode="#,##0.000"/>
    <numFmt numFmtId="169" formatCode="[$-10409]#,##0.00;\-#,##0.00"/>
    <numFmt numFmtId="170" formatCode="[$-10409]#,##0;\-#,##0"/>
    <numFmt numFmtId="171" formatCode="[$-10409]#,##0.000;\-#,##0.000"/>
    <numFmt numFmtId="172" formatCode="[$-10409]&quot;$&quot;#,##0.00;\(&quot;$&quot;#,##0.00\)"/>
  </numFmts>
  <fonts count="57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b/>
      <i/>
      <sz val="11"/>
      <name val="Calibri"/>
      <family val="2"/>
    </font>
    <font>
      <sz val="11"/>
      <color rgb="FF1F497D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rgb="FFFF000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/>
      <sz val="16"/>
      <color indexed="8"/>
      <name val="Times New Roman"/>
      <family val="1"/>
    </font>
    <font>
      <sz val="36"/>
      <color indexed="8"/>
      <name val="Arial"/>
      <family val="2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1.9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542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Alignment="1">
      <alignment wrapText="1"/>
    </xf>
    <xf numFmtId="41" fontId="4" fillId="0" borderId="0" xfId="0" applyNumberFormat="1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2" fontId="4" fillId="0" borderId="0" xfId="0" applyNumberFormat="1" applyFont="1"/>
    <xf numFmtId="0" fontId="3" fillId="0" borderId="0" xfId="0" applyFont="1" applyBorder="1" applyAlignment="1">
      <alignment horizontal="center"/>
    </xf>
    <xf numFmtId="42" fontId="4" fillId="0" borderId="0" xfId="1" applyNumberFormat="1" applyFont="1"/>
    <xf numFmtId="42" fontId="9" fillId="0" borderId="5" xfId="0" applyNumberFormat="1" applyFont="1" applyFill="1" applyBorder="1"/>
    <xf numFmtId="41" fontId="9" fillId="0" borderId="0" xfId="0" applyNumberFormat="1" applyFont="1" applyFill="1"/>
    <xf numFmtId="42" fontId="9" fillId="0" borderId="0" xfId="0" applyNumberFormat="1" applyFont="1" applyFill="1"/>
    <xf numFmtId="0" fontId="9" fillId="0" borderId="0" xfId="0" applyFont="1" applyFill="1"/>
    <xf numFmtId="42" fontId="9" fillId="0" borderId="0" xfId="0" applyNumberFormat="1" applyFont="1" applyFill="1" applyBorder="1"/>
    <xf numFmtId="42" fontId="9" fillId="0" borderId="4" xfId="0" applyNumberFormat="1" applyFont="1" applyFill="1" applyBorder="1"/>
    <xf numFmtId="42" fontId="9" fillId="0" borderId="1" xfId="0" applyNumberFormat="1" applyFont="1" applyFill="1" applyBorder="1"/>
    <xf numFmtId="165" fontId="9" fillId="0" borderId="6" xfId="0" applyNumberFormat="1" applyFont="1" applyFill="1" applyBorder="1"/>
    <xf numFmtId="41" fontId="4" fillId="0" borderId="0" xfId="1" applyNumberFormat="1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49" fontId="11" fillId="0" borderId="0" xfId="0" applyNumberFormat="1" applyFont="1"/>
    <xf numFmtId="49" fontId="12" fillId="0" borderId="0" xfId="0" applyNumberFormat="1" applyFont="1"/>
    <xf numFmtId="0" fontId="12" fillId="0" borderId="0" xfId="0" applyFont="1"/>
    <xf numFmtId="43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2" fillId="6" borderId="0" xfId="0" applyFont="1" applyFill="1"/>
    <xf numFmtId="0" fontId="0" fillId="6" borderId="0" xfId="0" applyFill="1"/>
    <xf numFmtId="43" fontId="0" fillId="6" borderId="0" xfId="0" applyNumberFormat="1" applyFill="1"/>
    <xf numFmtId="43" fontId="0" fillId="6" borderId="1" xfId="0" applyNumberFormat="1" applyFill="1" applyBorder="1"/>
    <xf numFmtId="10" fontId="0" fillId="5" borderId="5" xfId="0" applyNumberFormat="1" applyFill="1" applyBorder="1"/>
    <xf numFmtId="0" fontId="11" fillId="5" borderId="0" xfId="0" applyFont="1" applyFill="1"/>
    <xf numFmtId="0" fontId="11" fillId="6" borderId="0" xfId="0" applyFont="1" applyFill="1"/>
    <xf numFmtId="13" fontId="13" fillId="5" borderId="0" xfId="0" applyNumberFormat="1" applyFont="1" applyFill="1" applyAlignment="1">
      <alignment horizontal="center"/>
    </xf>
    <xf numFmtId="0" fontId="2" fillId="5" borderId="0" xfId="0" applyFont="1" applyFill="1"/>
    <xf numFmtId="10" fontId="0" fillId="5" borderId="0" xfId="0" applyNumberFormat="1" applyFill="1" applyBorder="1"/>
    <xf numFmtId="0" fontId="11" fillId="8" borderId="0" xfId="0" applyFont="1" applyFill="1"/>
    <xf numFmtId="0" fontId="0" fillId="8" borderId="0" xfId="0" applyFill="1"/>
    <xf numFmtId="17" fontId="2" fillId="8" borderId="0" xfId="0" applyNumberFormat="1" applyFont="1" applyFill="1"/>
    <xf numFmtId="0" fontId="2" fillId="8" borderId="0" xfId="0" applyFont="1" applyFill="1"/>
    <xf numFmtId="44" fontId="0" fillId="8" borderId="0" xfId="0" applyNumberFormat="1" applyFill="1"/>
    <xf numFmtId="44" fontId="0" fillId="8" borderId="1" xfId="0" applyNumberFormat="1" applyFill="1" applyBorder="1"/>
    <xf numFmtId="0" fontId="2" fillId="4" borderId="0" xfId="0" applyFont="1" applyFill="1"/>
    <xf numFmtId="0" fontId="0" fillId="4" borderId="0" xfId="0" applyFill="1"/>
    <xf numFmtId="43" fontId="0" fillId="4" borderId="0" xfId="0" applyNumberFormat="1" applyFill="1"/>
    <xf numFmtId="43" fontId="0" fillId="4" borderId="1" xfId="0" applyNumberFormat="1" applyFill="1" applyBorder="1"/>
    <xf numFmtId="49" fontId="12" fillId="0" borderId="0" xfId="0" applyNumberFormat="1" applyFont="1" applyFill="1"/>
    <xf numFmtId="0" fontId="12" fillId="0" borderId="0" xfId="0" applyFont="1" applyFill="1"/>
    <xf numFmtId="0" fontId="11" fillId="4" borderId="0" xfId="0" applyFont="1" applyFill="1"/>
    <xf numFmtId="0" fontId="11" fillId="9" borderId="0" xfId="0" applyFont="1" applyFill="1"/>
    <xf numFmtId="0" fontId="0" fillId="9" borderId="0" xfId="0" applyFill="1"/>
    <xf numFmtId="0" fontId="2" fillId="9" borderId="0" xfId="0" applyFont="1" applyFill="1"/>
    <xf numFmtId="44" fontId="0" fillId="9" borderId="0" xfId="0" applyNumberFormat="1" applyFill="1"/>
    <xf numFmtId="44" fontId="0" fillId="9" borderId="1" xfId="0" applyNumberFormat="1" applyFill="1" applyBorder="1"/>
    <xf numFmtId="0" fontId="11" fillId="0" borderId="0" xfId="0" applyFont="1"/>
    <xf numFmtId="17" fontId="2" fillId="0" borderId="0" xfId="0" quotePrefix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44" fontId="0" fillId="0" borderId="0" xfId="0" applyNumberFormat="1"/>
    <xf numFmtId="42" fontId="0" fillId="0" borderId="7" xfId="0" applyNumberFormat="1" applyBorder="1"/>
    <xf numFmtId="0" fontId="2" fillId="10" borderId="0" xfId="0" applyFont="1" applyFill="1"/>
    <xf numFmtId="0" fontId="0" fillId="10" borderId="0" xfId="0" applyFill="1"/>
    <xf numFmtId="2" fontId="0" fillId="10" borderId="0" xfId="0" applyNumberFormat="1" applyFill="1"/>
    <xf numFmtId="44" fontId="0" fillId="10" borderId="0" xfId="0" applyNumberFormat="1" applyFill="1"/>
    <xf numFmtId="4" fontId="0" fillId="0" borderId="0" xfId="0" applyNumberFormat="1"/>
    <xf numFmtId="2" fontId="0" fillId="0" borderId="1" xfId="0" applyNumberFormat="1" applyBorder="1"/>
    <xf numFmtId="41" fontId="0" fillId="0" borderId="0" xfId="0" applyNumberFormat="1"/>
    <xf numFmtId="0" fontId="11" fillId="11" borderId="0" xfId="0" applyFont="1" applyFill="1"/>
    <xf numFmtId="0" fontId="0" fillId="11" borderId="0" xfId="0" applyFill="1"/>
    <xf numFmtId="0" fontId="2" fillId="11" borderId="0" xfId="0" applyFont="1" applyFill="1"/>
    <xf numFmtId="41" fontId="0" fillId="11" borderId="0" xfId="0" applyNumberFormat="1" applyFill="1"/>
    <xf numFmtId="41" fontId="0" fillId="11" borderId="1" xfId="0" applyNumberFormat="1" applyFill="1" applyBorder="1"/>
    <xf numFmtId="0" fontId="14" fillId="0" borderId="0" xfId="0" applyFont="1" applyAlignment="1">
      <alignment vertical="center"/>
    </xf>
    <xf numFmtId="0" fontId="2" fillId="12" borderId="0" xfId="0" applyFont="1" applyFill="1"/>
    <xf numFmtId="0" fontId="0" fillId="12" borderId="0" xfId="0" applyFill="1"/>
    <xf numFmtId="41" fontId="0" fillId="12" borderId="0" xfId="0" applyNumberFormat="1" applyFill="1"/>
    <xf numFmtId="44" fontId="0" fillId="12" borderId="0" xfId="0" applyNumberFormat="1" applyFill="1"/>
    <xf numFmtId="44" fontId="0" fillId="12" borderId="1" xfId="0" applyNumberFormat="1" applyFill="1" applyBorder="1"/>
    <xf numFmtId="0" fontId="11" fillId="12" borderId="0" xfId="0" applyFont="1" applyFill="1"/>
    <xf numFmtId="49" fontId="0" fillId="0" borderId="0" xfId="0" applyNumberFormat="1" applyFill="1"/>
    <xf numFmtId="0" fontId="11" fillId="14" borderId="0" xfId="0" applyFont="1" applyFill="1"/>
    <xf numFmtId="0" fontId="0" fillId="14" borderId="0" xfId="0" applyFill="1"/>
    <xf numFmtId="44" fontId="11" fillId="14" borderId="7" xfId="0" applyNumberFormat="1" applyFont="1" applyFill="1" applyBorder="1"/>
    <xf numFmtId="0" fontId="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2" fillId="14" borderId="0" xfId="0" applyFont="1" applyFill="1"/>
    <xf numFmtId="166" fontId="0" fillId="14" borderId="0" xfId="0" applyNumberFormat="1" applyFill="1"/>
    <xf numFmtId="37" fontId="0" fillId="14" borderId="0" xfId="0" applyNumberFormat="1" applyFill="1"/>
    <xf numFmtId="0" fontId="15" fillId="14" borderId="0" xfId="0" applyFont="1" applyFill="1" applyAlignment="1">
      <alignment horizontal="right"/>
    </xf>
    <xf numFmtId="0" fontId="0" fillId="14" borderId="0" xfId="0" applyFill="1" applyAlignment="1">
      <alignment horizontal="left"/>
    </xf>
    <xf numFmtId="0" fontId="15" fillId="14" borderId="0" xfId="0" applyFont="1" applyFill="1" applyAlignment="1">
      <alignment horizontal="right" vertical="center"/>
    </xf>
    <xf numFmtId="166" fontId="0" fillId="14" borderId="0" xfId="0" applyNumberFormat="1" applyFill="1" applyAlignment="1">
      <alignment horizontal="right"/>
    </xf>
    <xf numFmtId="42" fontId="0" fillId="14" borderId="0" xfId="0" applyNumberFormat="1" applyFill="1"/>
    <xf numFmtId="44" fontId="0" fillId="14" borderId="1" xfId="0" applyNumberFormat="1" applyFill="1" applyBorder="1"/>
    <xf numFmtId="44" fontId="0" fillId="14" borderId="7" xfId="0" applyNumberFormat="1" applyFill="1" applyBorder="1"/>
    <xf numFmtId="37" fontId="0" fillId="14" borderId="7" xfId="0" applyNumberFormat="1" applyFill="1" applyBorder="1"/>
    <xf numFmtId="166" fontId="0" fillId="14" borderId="7" xfId="0" applyNumberFormat="1" applyFill="1" applyBorder="1"/>
    <xf numFmtId="0" fontId="0" fillId="0" borderId="0" xfId="0" applyBorder="1"/>
    <xf numFmtId="0" fontId="15" fillId="0" borderId="0" xfId="0" applyFont="1" applyFill="1" applyAlignment="1">
      <alignment horizontal="right" vertical="center"/>
    </xf>
    <xf numFmtId="0" fontId="0" fillId="0" borderId="0" xfId="0" applyFill="1"/>
    <xf numFmtId="166" fontId="0" fillId="0" borderId="0" xfId="0" applyNumberFormat="1" applyFill="1" applyBorder="1"/>
    <xf numFmtId="37" fontId="0" fillId="0" borderId="0" xfId="0" applyNumberFormat="1" applyFill="1"/>
    <xf numFmtId="0" fontId="0" fillId="0" borderId="0" xfId="0" applyFill="1" applyBorder="1"/>
    <xf numFmtId="0" fontId="11" fillId="15" borderId="0" xfId="0" applyFont="1" applyFill="1" applyAlignment="1">
      <alignment horizontal="left" vertical="center"/>
    </xf>
    <xf numFmtId="0" fontId="0" fillId="15" borderId="0" xfId="0" applyFill="1"/>
    <xf numFmtId="166" fontId="0" fillId="15" borderId="0" xfId="0" applyNumberFormat="1" applyFill="1" applyBorder="1"/>
    <xf numFmtId="0" fontId="0" fillId="15" borderId="0" xfId="0" applyFill="1" applyBorder="1"/>
    <xf numFmtId="0" fontId="4" fillId="15" borderId="0" xfId="0" applyFont="1" applyFill="1"/>
    <xf numFmtId="0" fontId="4" fillId="15" borderId="0" xfId="0" applyFont="1" applyFill="1" applyAlignment="1">
      <alignment horizontal="left" vertical="center"/>
    </xf>
    <xf numFmtId="43" fontId="0" fillId="0" borderId="0" xfId="0" applyNumberFormat="1" applyBorder="1"/>
    <xf numFmtId="43" fontId="0" fillId="0" borderId="0" xfId="0" applyNumberFormat="1"/>
    <xf numFmtId="43" fontId="4" fillId="15" borderId="0" xfId="0" applyNumberFormat="1" applyFont="1" applyFill="1" applyBorder="1"/>
    <xf numFmtId="43" fontId="4" fillId="15" borderId="1" xfId="0" applyNumberFormat="1" applyFont="1" applyFill="1" applyBorder="1"/>
    <xf numFmtId="0" fontId="4" fillId="5" borderId="0" xfId="0" applyFont="1" applyFill="1" applyBorder="1"/>
    <xf numFmtId="0" fontId="4" fillId="5" borderId="0" xfId="0" applyFont="1" applyFill="1"/>
    <xf numFmtId="43" fontId="4" fillId="5" borderId="0" xfId="0" applyNumberFormat="1" applyFont="1" applyFill="1" applyBorder="1"/>
    <xf numFmtId="43" fontId="4" fillId="5" borderId="0" xfId="0" applyNumberFormat="1" applyFont="1" applyFill="1"/>
    <xf numFmtId="43" fontId="4" fillId="5" borderId="1" xfId="0" applyNumberFormat="1" applyFont="1" applyFill="1" applyBorder="1"/>
    <xf numFmtId="44" fontId="4" fillId="5" borderId="0" xfId="0" applyNumberFormat="1" applyFont="1" applyFill="1" applyBorder="1"/>
    <xf numFmtId="43" fontId="2" fillId="0" borderId="0" xfId="0" applyNumberFormat="1" applyFont="1"/>
    <xf numFmtId="43" fontId="0" fillId="5" borderId="0" xfId="0" applyNumberFormat="1" applyFill="1" applyBorder="1"/>
    <xf numFmtId="43" fontId="0" fillId="5" borderId="1" xfId="0" applyNumberFormat="1" applyFill="1" applyBorder="1"/>
    <xf numFmtId="43" fontId="2" fillId="5" borderId="0" xfId="0" applyNumberFormat="1" applyFont="1" applyFill="1"/>
    <xf numFmtId="43" fontId="2" fillId="5" borderId="1" xfId="0" applyNumberFormat="1" applyFont="1" applyFill="1" applyBorder="1"/>
    <xf numFmtId="0" fontId="3" fillId="0" borderId="0" xfId="0" applyFont="1" applyAlignment="1">
      <alignment vertical="center"/>
    </xf>
    <xf numFmtId="0" fontId="2" fillId="7" borderId="0" xfId="0" applyFont="1" applyFill="1"/>
    <xf numFmtId="0" fontId="0" fillId="7" borderId="0" xfId="0" applyFill="1"/>
    <xf numFmtId="3" fontId="0" fillId="7" borderId="0" xfId="0" applyNumberFormat="1" applyFill="1"/>
    <xf numFmtId="3" fontId="0" fillId="7" borderId="1" xfId="0" applyNumberFormat="1" applyFill="1" applyBorder="1"/>
    <xf numFmtId="44" fontId="0" fillId="7" borderId="0" xfId="0" applyNumberFormat="1" applyFill="1"/>
    <xf numFmtId="0" fontId="17" fillId="7" borderId="0" xfId="0" applyFont="1" applyFill="1"/>
    <xf numFmtId="44" fontId="0" fillId="7" borderId="7" xfId="0" applyNumberFormat="1" applyFill="1" applyBorder="1"/>
    <xf numFmtId="0" fontId="0" fillId="7" borderId="0" xfId="0" applyFont="1" applyFill="1"/>
    <xf numFmtId="9" fontId="0" fillId="7" borderId="0" xfId="0" applyNumberFormat="1" applyFill="1"/>
    <xf numFmtId="44" fontId="0" fillId="7" borderId="1" xfId="0" applyNumberFormat="1" applyFill="1" applyBorder="1"/>
    <xf numFmtId="0" fontId="16" fillId="0" borderId="0" xfId="0" applyFont="1"/>
    <xf numFmtId="42" fontId="0" fillId="0" borderId="0" xfId="0" applyNumberFormat="1"/>
    <xf numFmtId="41" fontId="0" fillId="0" borderId="5" xfId="0" applyNumberFormat="1" applyBorder="1"/>
    <xf numFmtId="42" fontId="0" fillId="0" borderId="1" xfId="0" applyNumberFormat="1" applyBorder="1"/>
    <xf numFmtId="42" fontId="0" fillId="0" borderId="2" xfId="0" applyNumberFormat="1" applyBorder="1"/>
    <xf numFmtId="41" fontId="20" fillId="0" borderId="0" xfId="0" applyNumberFormat="1" applyFont="1" applyFill="1"/>
    <xf numFmtId="0" fontId="0" fillId="0" borderId="5" xfId="0" applyBorder="1"/>
    <xf numFmtId="0" fontId="3" fillId="0" borderId="3" xfId="0" applyFont="1" applyFill="1" applyBorder="1" applyAlignment="1">
      <alignment horizontal="center" wrapText="1"/>
    </xf>
    <xf numFmtId="0" fontId="9" fillId="0" borderId="0" xfId="0" applyFont="1" applyFill="1" applyBorder="1"/>
    <xf numFmtId="0" fontId="10" fillId="0" borderId="0" xfId="0" applyFont="1" applyFill="1"/>
    <xf numFmtId="164" fontId="4" fillId="0" borderId="0" xfId="0" applyNumberFormat="1" applyFont="1"/>
    <xf numFmtId="42" fontId="4" fillId="0" borderId="2" xfId="0" applyNumberFormat="1" applyFont="1" applyBorder="1"/>
    <xf numFmtId="42" fontId="4" fillId="0" borderId="4" xfId="0" applyNumberFormat="1" applyFont="1" applyBorder="1"/>
    <xf numFmtId="42" fontId="4" fillId="0" borderId="1" xfId="0" applyNumberFormat="1" applyFont="1" applyBorder="1"/>
    <xf numFmtId="42" fontId="4" fillId="0" borderId="2" xfId="1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3" fillId="0" borderId="3" xfId="0" applyNumberFormat="1" applyFont="1" applyBorder="1" applyAlignment="1">
      <alignment horizontal="center" wrapText="1"/>
    </xf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41" fontId="6" fillId="0" borderId="0" xfId="0" applyNumberFormat="1" applyFont="1" applyFill="1"/>
    <xf numFmtId="41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/>
    </xf>
    <xf numFmtId="41" fontId="5" fillId="3" borderId="2" xfId="1" applyNumberFormat="1" applyFont="1" applyFill="1" applyBorder="1"/>
    <xf numFmtId="41" fontId="5" fillId="0" borderId="0" xfId="0" applyNumberFormat="1" applyFont="1" applyFill="1"/>
    <xf numFmtId="0" fontId="6" fillId="0" borderId="0" xfId="0" applyFont="1" applyFill="1" applyAlignment="1">
      <alignment wrapText="1"/>
    </xf>
    <xf numFmtId="41" fontId="5" fillId="3" borderId="2" xfId="0" applyNumberFormat="1" applyFont="1" applyFill="1" applyBorder="1"/>
    <xf numFmtId="1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1" fontId="5" fillId="0" borderId="0" xfId="0" applyNumberFormat="1" applyFont="1" applyFill="1" applyBorder="1"/>
    <xf numFmtId="41" fontId="6" fillId="3" borderId="2" xfId="0" applyNumberFormat="1" applyFont="1" applyFill="1" applyBorder="1"/>
    <xf numFmtId="49" fontId="6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43" fontId="6" fillId="0" borderId="0" xfId="0" applyNumberFormat="1" applyFont="1" applyFill="1"/>
    <xf numFmtId="0" fontId="6" fillId="0" borderId="0" xfId="0" applyFont="1" applyFill="1" applyAlignment="1"/>
    <xf numFmtId="0" fontId="6" fillId="0" borderId="0" xfId="0" quotePrefix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Border="1"/>
    <xf numFmtId="41" fontId="6" fillId="0" borderId="0" xfId="0" applyNumberFormat="1" applyFont="1" applyFill="1" applyBorder="1"/>
    <xf numFmtId="41" fontId="5" fillId="0" borderId="1" xfId="1" applyNumberFormat="1" applyFont="1" applyFill="1" applyBorder="1"/>
    <xf numFmtId="0" fontId="6" fillId="0" borderId="0" xfId="0" applyFont="1" applyFill="1" applyBorder="1" applyAlignment="1">
      <alignment horizontal="left"/>
    </xf>
    <xf numFmtId="43" fontId="6" fillId="0" borderId="0" xfId="0" applyNumberFormat="1" applyFont="1" applyFill="1" applyAlignment="1">
      <alignment wrapText="1"/>
    </xf>
    <xf numFmtId="43" fontId="6" fillId="0" borderId="0" xfId="1" applyFont="1" applyFill="1"/>
    <xf numFmtId="43" fontId="6" fillId="0" borderId="1" xfId="0" applyNumberFormat="1" applyFont="1" applyFill="1" applyBorder="1"/>
    <xf numFmtId="0" fontId="6" fillId="0" borderId="0" xfId="0" applyFont="1" applyFill="1" applyAlignment="1">
      <alignment horizontal="right"/>
    </xf>
    <xf numFmtId="164" fontId="6" fillId="0" borderId="0" xfId="0" applyNumberFormat="1" applyFont="1" applyFill="1"/>
    <xf numFmtId="0" fontId="21" fillId="0" borderId="0" xfId="0" applyFont="1" applyAlignment="1">
      <alignment vertical="top"/>
    </xf>
    <xf numFmtId="49" fontId="22" fillId="0" borderId="0" xfId="0" applyNumberFormat="1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Border="1" applyAlignment="1">
      <alignment horizontal="left"/>
    </xf>
    <xf numFmtId="49" fontId="24" fillId="0" borderId="0" xfId="0" applyNumberFormat="1" applyFont="1" applyFill="1" applyBorder="1"/>
    <xf numFmtId="0" fontId="24" fillId="0" borderId="0" xfId="0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/>
    <xf numFmtId="41" fontId="25" fillId="3" borderId="2" xfId="1" applyNumberFormat="1" applyFont="1" applyFill="1" applyBorder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quotePrefix="1" applyFont="1" applyAlignment="1">
      <alignment horizontal="left"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Alignment="1">
      <alignment horizontal="left"/>
    </xf>
    <xf numFmtId="41" fontId="25" fillId="2" borderId="2" xfId="1" applyNumberFormat="1" applyFont="1" applyFill="1" applyBorder="1"/>
    <xf numFmtId="42" fontId="25" fillId="0" borderId="2" xfId="1" applyNumberFormat="1" applyFont="1" applyBorder="1"/>
    <xf numFmtId="43" fontId="24" fillId="0" borderId="0" xfId="0" applyNumberFormat="1" applyFont="1"/>
    <xf numFmtId="42" fontId="24" fillId="0" borderId="0" xfId="0" applyNumberFormat="1" applyFont="1"/>
    <xf numFmtId="41" fontId="6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3" fontId="22" fillId="0" borderId="0" xfId="0" applyNumberFormat="1" applyFont="1" applyFill="1" applyBorder="1"/>
    <xf numFmtId="43" fontId="5" fillId="3" borderId="2" xfId="1" applyNumberFormat="1" applyFont="1" applyFill="1" applyBorder="1"/>
    <xf numFmtId="43" fontId="5" fillId="3" borderId="2" xfId="0" applyNumberFormat="1" applyFont="1" applyFill="1" applyBorder="1"/>
    <xf numFmtId="43" fontId="5" fillId="0" borderId="0" xfId="0" applyNumberFormat="1" applyFont="1" applyFill="1" applyBorder="1"/>
    <xf numFmtId="43" fontId="6" fillId="3" borderId="2" xfId="0" applyNumberFormat="1" applyFont="1" applyFill="1" applyBorder="1"/>
    <xf numFmtId="44" fontId="6" fillId="0" borderId="0" xfId="2" applyFont="1" applyFill="1"/>
    <xf numFmtId="49" fontId="24" fillId="0" borderId="0" xfId="0" quotePrefix="1" applyNumberFormat="1" applyFont="1" applyFill="1" applyBorder="1"/>
    <xf numFmtId="43" fontId="6" fillId="0" borderId="0" xfId="0" applyNumberFormat="1" applyFont="1" applyFill="1" applyBorder="1"/>
    <xf numFmtId="43" fontId="5" fillId="0" borderId="0" xfId="0" applyNumberFormat="1" applyFont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wrapText="1"/>
    </xf>
    <xf numFmtId="43" fontId="5" fillId="0" borderId="0" xfId="0" applyNumberFormat="1" applyFont="1" applyFill="1"/>
    <xf numFmtId="43" fontId="22" fillId="0" borderId="0" xfId="0" applyNumberFormat="1" applyFont="1" applyFill="1" applyBorder="1" applyAlignment="1">
      <alignment horizontal="left"/>
    </xf>
    <xf numFmtId="43" fontId="6" fillId="0" borderId="0" xfId="0" applyNumberFormat="1" applyFont="1" applyFill="1" applyAlignment="1">
      <alignment horizontal="left"/>
    </xf>
    <xf numFmtId="43" fontId="6" fillId="0" borderId="0" xfId="0" applyNumberFormat="1" applyFont="1" applyFill="1" applyAlignment="1"/>
    <xf numFmtId="43" fontId="5" fillId="0" borderId="0" xfId="1" applyNumberFormat="1" applyFont="1" applyFill="1" applyBorder="1"/>
    <xf numFmtId="43" fontId="6" fillId="0" borderId="0" xfId="1" applyNumberFormat="1" applyFont="1" applyFill="1"/>
    <xf numFmtId="41" fontId="5" fillId="16" borderId="2" xfId="0" applyNumberFormat="1" applyFont="1" applyFill="1" applyBorder="1"/>
    <xf numFmtId="44" fontId="3" fillId="0" borderId="0" xfId="0" applyNumberFormat="1" applyFont="1" applyAlignment="1">
      <alignment vertical="center"/>
    </xf>
    <xf numFmtId="44" fontId="3" fillId="0" borderId="3" xfId="0" applyNumberFormat="1" applyFont="1" applyBorder="1" applyAlignment="1">
      <alignment horizontal="center" wrapText="1"/>
    </xf>
    <xf numFmtId="44" fontId="3" fillId="0" borderId="0" xfId="0" applyNumberFormat="1" applyFont="1" applyBorder="1" applyAlignment="1">
      <alignment horizontal="center"/>
    </xf>
    <xf numFmtId="44" fontId="24" fillId="0" borderId="0" xfId="0" applyNumberFormat="1" applyFont="1" applyFill="1" applyBorder="1"/>
    <xf numFmtId="44" fontId="24" fillId="0" borderId="0" xfId="0" applyNumberFormat="1" applyFont="1"/>
    <xf numFmtId="44" fontId="24" fillId="0" borderId="0" xfId="0" applyNumberFormat="1" applyFont="1" applyFill="1" applyBorder="1" applyAlignment="1">
      <alignment horizontal="right"/>
    </xf>
    <xf numFmtId="44" fontId="4" fillId="0" borderId="0" xfId="0" applyNumberFormat="1" applyFont="1"/>
    <xf numFmtId="41" fontId="9" fillId="0" borderId="0" xfId="0" applyNumberFormat="1" applyFont="1" applyFill="1" applyBorder="1"/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41" fontId="28" fillId="0" borderId="0" xfId="2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top"/>
    </xf>
    <xf numFmtId="43" fontId="30" fillId="0" borderId="0" xfId="0" applyNumberFormat="1" applyFont="1" applyBorder="1" applyAlignment="1">
      <alignment vertical="top"/>
    </xf>
    <xf numFmtId="41" fontId="30" fillId="0" borderId="0" xfId="0" applyNumberFormat="1" applyFont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167" fontId="32" fillId="0" borderId="0" xfId="0" quotePrefix="1" applyNumberFormat="1" applyFont="1" applyBorder="1" applyAlignment="1">
      <alignment vertical="top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35" fillId="0" borderId="0" xfId="0" applyFont="1" applyAlignment="1">
      <alignment vertical="top"/>
    </xf>
    <xf numFmtId="167" fontId="30" fillId="0" borderId="0" xfId="0" applyNumberFormat="1" applyFont="1" applyAlignment="1">
      <alignment vertical="top"/>
    </xf>
    <xf numFmtId="41" fontId="22" fillId="0" borderId="0" xfId="0" applyNumberFormat="1" applyFont="1" applyFill="1" applyBorder="1"/>
    <xf numFmtId="0" fontId="37" fillId="0" borderId="0" xfId="0" applyFont="1" applyAlignment="1">
      <alignment vertical="top"/>
    </xf>
    <xf numFmtId="43" fontId="37" fillId="0" borderId="0" xfId="1" applyFont="1" applyFill="1" applyAlignment="1">
      <alignment vertical="top"/>
    </xf>
    <xf numFmtId="43" fontId="37" fillId="0" borderId="0" xfId="1" applyNumberFormat="1" applyFont="1" applyFill="1" applyAlignment="1">
      <alignment vertical="top"/>
    </xf>
    <xf numFmtId="41" fontId="37" fillId="0" borderId="0" xfId="0" applyNumberFormat="1" applyFont="1" applyAlignment="1">
      <alignment vertical="top"/>
    </xf>
    <xf numFmtId="0" fontId="37" fillId="0" borderId="0" xfId="0" applyFont="1" applyFill="1" applyBorder="1" applyAlignment="1">
      <alignment vertical="top"/>
    </xf>
    <xf numFmtId="43" fontId="37" fillId="0" borderId="0" xfId="1" applyFont="1" applyAlignment="1">
      <alignment vertical="top"/>
    </xf>
    <xf numFmtId="43" fontId="37" fillId="0" borderId="0" xfId="1" applyNumberFormat="1" applyFont="1" applyAlignment="1">
      <alignment vertical="top"/>
    </xf>
    <xf numFmtId="41" fontId="37" fillId="0" borderId="0" xfId="1" applyNumberFormat="1" applyFont="1" applyAlignment="1">
      <alignment vertical="top"/>
    </xf>
    <xf numFmtId="43" fontId="38" fillId="0" borderId="0" xfId="1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41" fontId="37" fillId="0" borderId="0" xfId="0" applyNumberFormat="1" applyFont="1" applyFill="1" applyAlignment="1">
      <alignment vertical="top"/>
    </xf>
    <xf numFmtId="43" fontId="38" fillId="0" borderId="0" xfId="1" applyNumberFormat="1" applyFont="1" applyFill="1" applyBorder="1" applyAlignment="1">
      <alignment vertical="top"/>
    </xf>
    <xf numFmtId="41" fontId="38" fillId="0" borderId="0" xfId="1" applyNumberFormat="1" applyFont="1" applyFill="1" applyBorder="1" applyAlignment="1">
      <alignment vertical="top"/>
    </xf>
    <xf numFmtId="43" fontId="4" fillId="0" borderId="0" xfId="0" applyNumberFormat="1" applyFont="1"/>
    <xf numFmtId="43" fontId="3" fillId="0" borderId="3" xfId="0" applyNumberFormat="1" applyFont="1" applyBorder="1" applyAlignment="1">
      <alignment horizontal="center" wrapText="1"/>
    </xf>
    <xf numFmtId="43" fontId="24" fillId="0" borderId="0" xfId="0" applyNumberFormat="1" applyFont="1" applyFill="1"/>
    <xf numFmtId="43" fontId="25" fillId="3" borderId="2" xfId="1" applyNumberFormat="1" applyFont="1" applyFill="1" applyBorder="1"/>
    <xf numFmtId="43" fontId="24" fillId="0" borderId="0" xfId="0" applyNumberFormat="1" applyFont="1" applyFill="1" applyBorder="1"/>
    <xf numFmtId="43" fontId="38" fillId="2" borderId="2" xfId="1" applyNumberFormat="1" applyFont="1" applyFill="1" applyBorder="1" applyAlignment="1">
      <alignment vertical="top"/>
    </xf>
    <xf numFmtId="43" fontId="25" fillId="0" borderId="2" xfId="1" applyNumberFormat="1" applyFont="1" applyBorder="1"/>
    <xf numFmtId="43" fontId="5" fillId="0" borderId="3" xfId="0" applyNumberFormat="1" applyFont="1" applyBorder="1" applyAlignment="1">
      <alignment horizontal="center" wrapText="1"/>
    </xf>
    <xf numFmtId="43" fontId="5" fillId="16" borderId="2" xfId="1" applyNumberFormat="1" applyFont="1" applyFill="1" applyBorder="1"/>
    <xf numFmtId="43" fontId="5" fillId="16" borderId="2" xfId="0" applyNumberFormat="1" applyFont="1" applyFill="1" applyBorder="1"/>
    <xf numFmtId="43" fontId="22" fillId="0" borderId="0" xfId="2" applyNumberFormat="1" applyFont="1" applyFill="1" applyBorder="1"/>
    <xf numFmtId="41" fontId="5" fillId="0" borderId="0" xfId="0" applyNumberFormat="1" applyFont="1" applyAlignment="1">
      <alignment horizontal="center" vertical="center"/>
    </xf>
    <xf numFmtId="41" fontId="5" fillId="0" borderId="3" xfId="0" applyNumberFormat="1" applyFont="1" applyBorder="1" applyAlignment="1">
      <alignment horizontal="center" wrapText="1"/>
    </xf>
    <xf numFmtId="41" fontId="27" fillId="0" borderId="0" xfId="0" applyNumberFormat="1" applyFont="1" applyFill="1" applyBorder="1"/>
    <xf numFmtId="41" fontId="22" fillId="0" borderId="0" xfId="2" applyNumberFormat="1" applyFont="1" applyFill="1" applyBorder="1"/>
    <xf numFmtId="41" fontId="22" fillId="0" borderId="0" xfId="0" applyNumberFormat="1" applyFont="1" applyFill="1"/>
    <xf numFmtId="42" fontId="3" fillId="0" borderId="0" xfId="0" applyNumberFormat="1" applyFont="1"/>
    <xf numFmtId="42" fontId="4" fillId="0" borderId="1" xfId="1" applyNumberFormat="1" applyFont="1" applyBorder="1"/>
    <xf numFmtId="10" fontId="6" fillId="0" borderId="0" xfId="0" applyNumberFormat="1" applyFont="1" applyFill="1"/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2" fillId="0" borderId="0" xfId="0" applyFont="1" applyAlignment="1">
      <alignment vertical="top"/>
    </xf>
    <xf numFmtId="41" fontId="3" fillId="0" borderId="0" xfId="0" applyNumberFormat="1" applyFont="1"/>
    <xf numFmtId="0" fontId="43" fillId="17" borderId="6" xfId="0" quotePrefix="1" applyFont="1" applyFill="1" applyBorder="1" applyAlignment="1" applyProtection="1">
      <alignment horizontal="left" wrapText="1"/>
    </xf>
    <xf numFmtId="4" fontId="0" fillId="17" borderId="8" xfId="0" applyNumberFormat="1" applyFill="1" applyBorder="1" applyProtection="1"/>
    <xf numFmtId="0" fontId="0" fillId="17" borderId="0" xfId="0" applyFill="1" applyBorder="1" applyProtection="1"/>
    <xf numFmtId="0" fontId="0" fillId="17" borderId="0" xfId="0" applyFill="1" applyBorder="1" applyAlignment="1" applyProtection="1">
      <alignment wrapText="1"/>
    </xf>
    <xf numFmtId="0" fontId="0" fillId="17" borderId="0" xfId="0" applyFill="1" applyProtection="1"/>
    <xf numFmtId="0" fontId="43" fillId="17" borderId="6" xfId="0" applyFont="1" applyFill="1" applyBorder="1" applyAlignment="1" applyProtection="1">
      <alignment horizontal="center" wrapText="1"/>
    </xf>
    <xf numFmtId="0" fontId="0" fillId="17" borderId="5" xfId="0" applyFill="1" applyBorder="1" applyProtection="1"/>
    <xf numFmtId="0" fontId="0" fillId="17" borderId="5" xfId="0" applyFill="1" applyBorder="1" applyAlignment="1" applyProtection="1">
      <alignment wrapText="1"/>
    </xf>
    <xf numFmtId="0" fontId="0" fillId="17" borderId="6" xfId="0" quotePrefix="1" applyFill="1" applyBorder="1" applyAlignment="1" applyProtection="1">
      <alignment horizontal="left" wrapText="1"/>
    </xf>
    <xf numFmtId="4" fontId="0" fillId="17" borderId="6" xfId="0" applyNumberFormat="1" applyFill="1" applyBorder="1" applyProtection="1">
      <protection locked="0"/>
    </xf>
    <xf numFmtId="0" fontId="0" fillId="17" borderId="6" xfId="0" applyFill="1" applyBorder="1" applyProtection="1"/>
    <xf numFmtId="0" fontId="0" fillId="17" borderId="6" xfId="0" applyFill="1" applyBorder="1" applyAlignment="1" applyProtection="1">
      <alignment wrapText="1"/>
    </xf>
    <xf numFmtId="0" fontId="0" fillId="17" borderId="6" xfId="0" applyFill="1" applyBorder="1" applyAlignment="1" applyProtection="1">
      <alignment horizontal="left" wrapText="1"/>
    </xf>
    <xf numFmtId="4" fontId="43" fillId="17" borderId="6" xfId="0" applyNumberFormat="1" applyFont="1" applyFill="1" applyBorder="1" applyProtection="1"/>
    <xf numFmtId="4" fontId="0" fillId="17" borderId="9" xfId="0" applyNumberFormat="1" applyFill="1" applyBorder="1" applyProtection="1"/>
    <xf numFmtId="0" fontId="0" fillId="17" borderId="2" xfId="0" applyFill="1" applyBorder="1" applyProtection="1"/>
    <xf numFmtId="0" fontId="0" fillId="17" borderId="2" xfId="0" applyFill="1" applyBorder="1" applyAlignment="1" applyProtection="1">
      <alignment wrapText="1"/>
    </xf>
    <xf numFmtId="44" fontId="26" fillId="17" borderId="6" xfId="2" applyFill="1" applyBorder="1" applyProtection="1">
      <protection locked="0"/>
    </xf>
    <xf numFmtId="168" fontId="0" fillId="17" borderId="6" xfId="0" applyNumberFormat="1" applyFill="1" applyBorder="1" applyProtection="1"/>
    <xf numFmtId="168" fontId="43" fillId="17" borderId="6" xfId="0" applyNumberFormat="1" applyFont="1" applyFill="1" applyBorder="1" applyProtection="1"/>
    <xf numFmtId="168" fontId="0" fillId="17" borderId="9" xfId="0" applyNumberFormat="1" applyFill="1" applyBorder="1" applyProtection="1"/>
    <xf numFmtId="44" fontId="22" fillId="17" borderId="6" xfId="2" applyFont="1" applyFill="1" applyBorder="1" applyProtection="1">
      <protection locked="0"/>
    </xf>
    <xf numFmtId="0" fontId="0" fillId="17" borderId="6" xfId="0" applyFill="1" applyBorder="1" applyAlignment="1">
      <alignment wrapText="1"/>
    </xf>
    <xf numFmtId="44" fontId="43" fillId="17" borderId="6" xfId="2" applyNumberFormat="1" applyFont="1" applyFill="1" applyBorder="1" applyProtection="1"/>
    <xf numFmtId="44" fontId="43" fillId="17" borderId="6" xfId="2" applyFont="1" applyFill="1" applyBorder="1" applyProtection="1">
      <protection locked="0"/>
    </xf>
    <xf numFmtId="44" fontId="43" fillId="17" borderId="6" xfId="2" applyFont="1" applyFill="1" applyBorder="1" applyProtection="1"/>
    <xf numFmtId="44" fontId="26" fillId="17" borderId="9" xfId="2" applyFill="1" applyBorder="1" applyProtection="1"/>
    <xf numFmtId="0" fontId="43" fillId="17" borderId="6" xfId="0" applyFont="1" applyFill="1" applyBorder="1" applyAlignment="1" applyProtection="1">
      <alignment wrapText="1"/>
    </xf>
    <xf numFmtId="4" fontId="0" fillId="17" borderId="6" xfId="0" applyNumberFormat="1" applyFill="1" applyBorder="1" applyProtection="1"/>
    <xf numFmtId="4" fontId="0" fillId="17" borderId="6" xfId="0" applyNumberFormat="1" applyFill="1" applyBorder="1" applyAlignment="1" applyProtection="1">
      <alignment wrapText="1"/>
    </xf>
    <xf numFmtId="0" fontId="0" fillId="17" borderId="6" xfId="0" applyFill="1" applyBorder="1"/>
    <xf numFmtId="0" fontId="0" fillId="17" borderId="0" xfId="0" applyFill="1" applyBorder="1"/>
    <xf numFmtId="0" fontId="0" fillId="17" borderId="2" xfId="0" applyFill="1" applyBorder="1" applyAlignment="1">
      <alignment wrapText="1"/>
    </xf>
    <xf numFmtId="4" fontId="0" fillId="17" borderId="4" xfId="0" applyNumberFormat="1" applyFill="1" applyBorder="1" applyProtection="1"/>
    <xf numFmtId="0" fontId="0" fillId="17" borderId="4" xfId="0" applyFill="1" applyBorder="1"/>
    <xf numFmtId="0" fontId="0" fillId="17" borderId="4" xfId="0" applyFill="1" applyBorder="1" applyAlignment="1">
      <alignment wrapText="1"/>
    </xf>
    <xf numFmtId="0" fontId="43" fillId="17" borderId="6" xfId="0" applyFont="1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43" fillId="17" borderId="6" xfId="0" applyFont="1" applyFill="1" applyBorder="1" applyAlignment="1">
      <alignment wrapText="1"/>
    </xf>
    <xf numFmtId="4" fontId="0" fillId="17" borderId="10" xfId="0" applyNumberFormat="1" applyFill="1" applyBorder="1" applyProtection="1"/>
    <xf numFmtId="0" fontId="0" fillId="17" borderId="5" xfId="0" applyFill="1" applyBorder="1"/>
    <xf numFmtId="0" fontId="0" fillId="17" borderId="5" xfId="0" applyFill="1" applyBorder="1" applyAlignment="1">
      <alignment wrapText="1"/>
    </xf>
    <xf numFmtId="0" fontId="43" fillId="17" borderId="6" xfId="0" applyFont="1" applyFill="1" applyBorder="1"/>
    <xf numFmtId="0" fontId="0" fillId="17" borderId="2" xfId="0" applyFill="1" applyBorder="1"/>
    <xf numFmtId="164" fontId="43" fillId="17" borderId="6" xfId="0" applyNumberFormat="1" applyFont="1" applyFill="1" applyBorder="1" applyProtection="1"/>
    <xf numFmtId="4" fontId="43" fillId="17" borderId="9" xfId="0" applyNumberFormat="1" applyFont="1" applyFill="1" applyBorder="1" applyProtection="1"/>
    <xf numFmtId="0" fontId="0" fillId="17" borderId="0" xfId="0" applyFill="1" applyAlignment="1">
      <alignment wrapText="1"/>
    </xf>
    <xf numFmtId="43" fontId="0" fillId="17" borderId="0" xfId="0" applyNumberFormat="1" applyFill="1" applyProtection="1"/>
    <xf numFmtId="0" fontId="0" fillId="17" borderId="0" xfId="0" quotePrefix="1" applyFill="1" applyAlignment="1">
      <alignment horizontal="left" wrapText="1"/>
    </xf>
    <xf numFmtId="0" fontId="0" fillId="17" borderId="11" xfId="0" applyFill="1" applyBorder="1" applyAlignment="1" applyProtection="1">
      <alignment wrapText="1"/>
      <protection locked="0"/>
    </xf>
    <xf numFmtId="43" fontId="0" fillId="17" borderId="4" xfId="0" applyNumberForma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0" fillId="17" borderId="12" xfId="0" applyFill="1" applyBorder="1" applyAlignment="1" applyProtection="1">
      <alignment wrapText="1"/>
      <protection locked="0"/>
    </xf>
    <xf numFmtId="0" fontId="0" fillId="17" borderId="8" xfId="0" applyFill="1" applyBorder="1" applyAlignment="1" applyProtection="1">
      <alignment wrapText="1"/>
      <protection locked="0"/>
    </xf>
    <xf numFmtId="43" fontId="0" fillId="17" borderId="0" xfId="0" applyNumberFormat="1" applyFill="1" applyBorder="1" applyProtection="1">
      <protection locked="0"/>
    </xf>
    <xf numFmtId="0" fontId="0" fillId="17" borderId="0" xfId="0" applyFill="1" applyBorder="1" applyProtection="1">
      <protection locked="0"/>
    </xf>
    <xf numFmtId="0" fontId="0" fillId="17" borderId="13" xfId="0" applyFill="1" applyBorder="1" applyAlignment="1" applyProtection="1">
      <alignment wrapText="1"/>
      <protection locked="0"/>
    </xf>
    <xf numFmtId="0" fontId="0" fillId="17" borderId="10" xfId="0" applyFill="1" applyBorder="1" applyAlignment="1" applyProtection="1">
      <alignment wrapText="1"/>
      <protection locked="0"/>
    </xf>
    <xf numFmtId="43" fontId="0" fillId="17" borderId="5" xfId="0" applyNumberFormat="1" applyFill="1" applyBorder="1" applyProtection="1">
      <protection locked="0"/>
    </xf>
    <xf numFmtId="0" fontId="0" fillId="17" borderId="5" xfId="0" applyFill="1" applyBorder="1" applyProtection="1">
      <protection locked="0"/>
    </xf>
    <xf numFmtId="0" fontId="0" fillId="17" borderId="14" xfId="0" applyFill="1" applyBorder="1" applyAlignment="1" applyProtection="1">
      <alignment wrapText="1"/>
      <protection locked="0"/>
    </xf>
    <xf numFmtId="0" fontId="0" fillId="17" borderId="0" xfId="0" applyFill="1" applyAlignment="1" applyProtection="1">
      <alignment horizontal="left" wrapText="1"/>
    </xf>
    <xf numFmtId="4" fontId="43" fillId="17" borderId="0" xfId="0" applyNumberFormat="1" applyFont="1" applyFill="1" applyBorder="1" applyProtection="1"/>
    <xf numFmtId="0" fontId="0" fillId="17" borderId="0" xfId="0" applyFill="1" applyAlignment="1" applyProtection="1">
      <alignment wrapText="1"/>
    </xf>
    <xf numFmtId="4" fontId="0" fillId="17" borderId="0" xfId="0" applyNumberFormat="1" applyFill="1" applyBorder="1" applyProtection="1"/>
    <xf numFmtId="0" fontId="43" fillId="17" borderId="0" xfId="0" applyFont="1" applyFill="1" applyAlignment="1" applyProtection="1">
      <alignment horizontal="center" wrapText="1"/>
    </xf>
    <xf numFmtId="4" fontId="0" fillId="17" borderId="0" xfId="0" applyNumberFormat="1" applyFill="1" applyProtection="1"/>
    <xf numFmtId="4" fontId="0" fillId="17" borderId="0" xfId="0" applyNumberFormat="1" applyFill="1" applyAlignment="1" applyProtection="1">
      <alignment wrapText="1"/>
    </xf>
    <xf numFmtId="0" fontId="43" fillId="17" borderId="0" xfId="0" applyFont="1" applyFill="1" applyAlignment="1" applyProtection="1">
      <alignment wrapText="1"/>
    </xf>
    <xf numFmtId="0" fontId="43" fillId="17" borderId="0" xfId="0" applyFont="1" applyFill="1" applyProtection="1"/>
    <xf numFmtId="43" fontId="21" fillId="0" borderId="0" xfId="1" applyFont="1" applyAlignment="1">
      <alignment vertical="top"/>
    </xf>
    <xf numFmtId="0" fontId="21" fillId="0" borderId="0" xfId="0" applyFont="1" applyFill="1" applyBorder="1" applyAlignment="1">
      <alignment vertical="top"/>
    </xf>
    <xf numFmtId="43" fontId="44" fillId="0" borderId="0" xfId="1" applyFont="1" applyBorder="1" applyAlignment="1">
      <alignment vertical="top"/>
    </xf>
    <xf numFmtId="41" fontId="21" fillId="0" borderId="0" xfId="1" applyNumberFormat="1" applyFont="1" applyBorder="1" applyAlignment="1">
      <alignment vertical="top"/>
    </xf>
    <xf numFmtId="41" fontId="45" fillId="7" borderId="4" xfId="1" applyNumberFormat="1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41" fontId="45" fillId="3" borderId="4" xfId="1" applyNumberFormat="1" applyFont="1" applyFill="1" applyBorder="1" applyAlignment="1">
      <alignment vertical="top"/>
    </xf>
    <xf numFmtId="0" fontId="45" fillId="0" borderId="0" xfId="0" applyFont="1" applyFill="1" applyBorder="1" applyAlignment="1">
      <alignment horizontal="left" vertical="top"/>
    </xf>
    <xf numFmtId="8" fontId="36" fillId="0" borderId="0" xfId="0" applyNumberFormat="1" applyFont="1" applyAlignment="1">
      <alignment vertical="top"/>
    </xf>
    <xf numFmtId="0" fontId="36" fillId="0" borderId="0" xfId="0" applyFont="1" applyAlignment="1">
      <alignment vertical="top"/>
    </xf>
    <xf numFmtId="6" fontId="9" fillId="0" borderId="0" xfId="0" applyNumberFormat="1" applyFont="1" applyFill="1" applyBorder="1"/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Fill="1" applyBorder="1"/>
    <xf numFmtId="49" fontId="48" fillId="0" borderId="0" xfId="0" applyNumberFormat="1" applyFont="1" applyFill="1" applyBorder="1"/>
    <xf numFmtId="43" fontId="48" fillId="0" borderId="0" xfId="0" applyNumberFormat="1" applyFont="1" applyFill="1" applyBorder="1"/>
    <xf numFmtId="0" fontId="48" fillId="0" borderId="0" xfId="0" applyFont="1" applyFill="1"/>
    <xf numFmtId="4" fontId="4" fillId="0" borderId="0" xfId="0" applyNumberFormat="1" applyFont="1"/>
    <xf numFmtId="4" fontId="3" fillId="0" borderId="3" xfId="0" applyNumberFormat="1" applyFont="1" applyBorder="1" applyAlignment="1">
      <alignment horizontal="center" wrapText="1"/>
    </xf>
    <xf numFmtId="4" fontId="24" fillId="0" borderId="0" xfId="0" applyNumberFormat="1" applyFont="1" applyFill="1"/>
    <xf numFmtId="4" fontId="25" fillId="3" borderId="2" xfId="1" applyNumberFormat="1" applyFont="1" applyFill="1" applyBorder="1"/>
    <xf numFmtId="4" fontId="24" fillId="0" borderId="0" xfId="0" applyNumberFormat="1" applyFont="1"/>
    <xf numFmtId="4" fontId="24" fillId="0" borderId="0" xfId="0" applyNumberFormat="1" applyFont="1" applyFill="1" applyBorder="1"/>
    <xf numFmtId="4" fontId="37" fillId="0" borderId="0" xfId="1" applyNumberFormat="1" applyFont="1" applyFill="1" applyAlignment="1">
      <alignment vertical="top"/>
    </xf>
    <xf numFmtId="4" fontId="37" fillId="0" borderId="0" xfId="1" applyNumberFormat="1" applyFont="1" applyAlignment="1">
      <alignment vertical="top"/>
    </xf>
    <xf numFmtId="4" fontId="38" fillId="2" borderId="2" xfId="1" applyNumberFormat="1" applyFont="1" applyFill="1" applyBorder="1" applyAlignment="1">
      <alignment vertical="top"/>
    </xf>
    <xf numFmtId="4" fontId="38" fillId="0" borderId="0" xfId="1" applyNumberFormat="1" applyFont="1" applyFill="1" applyBorder="1" applyAlignment="1">
      <alignment vertical="top"/>
    </xf>
    <xf numFmtId="4" fontId="25" fillId="0" borderId="2" xfId="1" applyNumberFormat="1" applyFont="1" applyBorder="1"/>
    <xf numFmtId="43" fontId="9" fillId="0" borderId="0" xfId="0" applyNumberFormat="1" applyFont="1" applyFill="1"/>
    <xf numFmtId="44" fontId="9" fillId="0" borderId="0" xfId="0" applyNumberFormat="1" applyFont="1" applyFill="1"/>
    <xf numFmtId="43" fontId="27" fillId="0" borderId="0" xfId="0" applyNumberFormat="1" applyFont="1" applyFill="1" applyBorder="1"/>
    <xf numFmtId="43" fontId="21" fillId="0" borderId="0" xfId="1" applyNumberFormat="1" applyFont="1" applyAlignment="1">
      <alignment vertical="top"/>
    </xf>
    <xf numFmtId="43" fontId="45" fillId="3" borderId="4" xfId="1" applyNumberFormat="1" applyFont="1" applyFill="1" applyBorder="1" applyAlignment="1">
      <alignment vertical="top"/>
    </xf>
    <xf numFmtId="43" fontId="22" fillId="0" borderId="0" xfId="0" applyNumberFormat="1" applyFont="1" applyFill="1"/>
    <xf numFmtId="43" fontId="5" fillId="0" borderId="1" xfId="1" applyNumberFormat="1" applyFont="1" applyFill="1" applyBorder="1"/>
    <xf numFmtId="43" fontId="21" fillId="0" borderId="0" xfId="0" applyNumberFormat="1" applyFont="1" applyAlignment="1">
      <alignment vertical="top"/>
    </xf>
    <xf numFmtId="43" fontId="6" fillId="0" borderId="0" xfId="2" applyNumberFormat="1" applyFont="1" applyFill="1"/>
    <xf numFmtId="43" fontId="48" fillId="0" borderId="0" xfId="0" applyNumberFormat="1" applyFont="1" applyFill="1"/>
    <xf numFmtId="41" fontId="3" fillId="0" borderId="3" xfId="0" applyNumberFormat="1" applyFont="1" applyFill="1" applyBorder="1" applyAlignment="1">
      <alignment horizontal="center" wrapText="1"/>
    </xf>
    <xf numFmtId="41" fontId="9" fillId="0" borderId="5" xfId="0" applyNumberFormat="1" applyFont="1" applyFill="1" applyBorder="1"/>
    <xf numFmtId="41" fontId="9" fillId="0" borderId="4" xfId="0" applyNumberFormat="1" applyFont="1" applyFill="1" applyBorder="1"/>
    <xf numFmtId="41" fontId="9" fillId="0" borderId="1" xfId="0" applyNumberFormat="1" applyFont="1" applyFill="1" applyBorder="1"/>
    <xf numFmtId="0" fontId="50" fillId="4" borderId="0" xfId="0" quotePrefix="1" applyFont="1" applyFill="1" applyAlignment="1" applyProtection="1">
      <alignment horizontal="centerContinuous" vertical="top" wrapText="1" readingOrder="1"/>
    </xf>
    <xf numFmtId="0" fontId="0" fillId="4" borderId="0" xfId="0" applyFill="1" applyAlignment="1" applyProtection="1">
      <alignment horizontal="centerContinuous" readingOrder="1"/>
    </xf>
    <xf numFmtId="0" fontId="0" fillId="4" borderId="0" xfId="0" applyFill="1" applyAlignment="1" applyProtection="1"/>
    <xf numFmtId="0" fontId="0" fillId="0" borderId="0" xfId="0" applyAlignment="1" applyProtection="1"/>
    <xf numFmtId="0" fontId="49" fillId="4" borderId="0" xfId="0" applyFont="1" applyFill="1" applyAlignment="1" applyProtection="1">
      <alignment vertical="top" readingOrder="1"/>
    </xf>
    <xf numFmtId="0" fontId="49" fillId="4" borderId="0" xfId="0" quotePrefix="1" applyFont="1" applyFill="1" applyAlignment="1" applyProtection="1">
      <alignment horizontal="left" vertical="top" readingOrder="1"/>
    </xf>
    <xf numFmtId="49" fontId="49" fillId="0" borderId="0" xfId="0" applyNumberFormat="1" applyFont="1" applyFill="1" applyAlignment="1" applyProtection="1">
      <alignment vertical="top" readingOrder="1"/>
      <protection locked="0"/>
    </xf>
    <xf numFmtId="0" fontId="51" fillId="4" borderId="0" xfId="0" applyFont="1" applyFill="1" applyAlignment="1" applyProtection="1">
      <alignment vertical="top" readingOrder="1"/>
    </xf>
    <xf numFmtId="169" fontId="51" fillId="4" borderId="0" xfId="0" applyNumberFormat="1" applyFont="1" applyFill="1" applyAlignment="1" applyProtection="1">
      <alignment vertical="top" readingOrder="1"/>
    </xf>
    <xf numFmtId="0" fontId="51" fillId="4" borderId="0" xfId="0" applyFont="1" applyFill="1" applyAlignment="1" applyProtection="1">
      <alignment horizontal="left" vertical="top" readingOrder="1"/>
    </xf>
    <xf numFmtId="0" fontId="49" fillId="0" borderId="0" xfId="0" applyFont="1" applyFill="1" applyAlignment="1" applyProtection="1">
      <alignment vertical="top" readingOrder="1"/>
      <protection locked="0"/>
    </xf>
    <xf numFmtId="0" fontId="0" fillId="0" borderId="0" xfId="0" applyFill="1" applyAlignment="1" applyProtection="1">
      <protection locked="0"/>
    </xf>
    <xf numFmtId="0" fontId="51" fillId="4" borderId="0" xfId="0" quotePrefix="1" applyFont="1" applyFill="1" applyAlignment="1" applyProtection="1">
      <alignment horizontal="left" vertical="top" indent="1" readingOrder="1"/>
    </xf>
    <xf numFmtId="169" fontId="51" fillId="0" borderId="0" xfId="0" applyNumberFormat="1" applyFont="1" applyFill="1" applyAlignment="1" applyProtection="1">
      <alignment vertical="top" readingOrder="1"/>
      <protection locked="0"/>
    </xf>
    <xf numFmtId="0" fontId="51" fillId="4" borderId="11" xfId="0" applyFont="1" applyFill="1" applyBorder="1" applyAlignment="1" applyProtection="1">
      <alignment vertical="top" readingOrder="1"/>
    </xf>
    <xf numFmtId="0" fontId="51" fillId="4" borderId="4" xfId="0" applyFont="1" applyFill="1" applyBorder="1" applyAlignment="1" applyProtection="1">
      <alignment vertical="top" readingOrder="1"/>
    </xf>
    <xf numFmtId="0" fontId="0" fillId="4" borderId="12" xfId="0" applyFill="1" applyBorder="1" applyAlignment="1" applyProtection="1"/>
    <xf numFmtId="0" fontId="51" fillId="4" borderId="8" xfId="0" quotePrefix="1" applyFont="1" applyFill="1" applyBorder="1" applyAlignment="1" applyProtection="1">
      <alignment horizontal="left" vertical="top" readingOrder="1"/>
    </xf>
    <xf numFmtId="0" fontId="51" fillId="4" borderId="0" xfId="0" applyFont="1" applyFill="1" applyBorder="1" applyAlignment="1" applyProtection="1">
      <alignment vertical="top" readingOrder="1"/>
    </xf>
    <xf numFmtId="169" fontId="51" fillId="0" borderId="0" xfId="0" applyNumberFormat="1" applyFont="1" applyFill="1" applyBorder="1" applyAlignment="1" applyProtection="1">
      <alignment vertical="top" readingOrder="1"/>
      <protection locked="0"/>
    </xf>
    <xf numFmtId="0" fontId="0" fillId="4" borderId="13" xfId="0" applyFill="1" applyBorder="1" applyAlignment="1" applyProtection="1"/>
    <xf numFmtId="0" fontId="0" fillId="4" borderId="8" xfId="0" applyFill="1" applyBorder="1" applyAlignment="1" applyProtection="1"/>
    <xf numFmtId="0" fontId="0" fillId="4" borderId="0" xfId="0" applyFill="1" applyBorder="1" applyAlignment="1" applyProtection="1"/>
    <xf numFmtId="0" fontId="51" fillId="4" borderId="8" xfId="0" applyFont="1" applyFill="1" applyBorder="1" applyAlignment="1" applyProtection="1">
      <alignment vertical="top" readingOrder="1"/>
    </xf>
    <xf numFmtId="0" fontId="0" fillId="4" borderId="10" xfId="0" applyFill="1" applyBorder="1" applyAlignment="1" applyProtection="1"/>
    <xf numFmtId="0" fontId="0" fillId="4" borderId="5" xfId="0" applyFill="1" applyBorder="1" applyAlignment="1" applyProtection="1"/>
    <xf numFmtId="0" fontId="0" fillId="4" borderId="14" xfId="0" applyFill="1" applyBorder="1" applyAlignment="1" applyProtection="1"/>
    <xf numFmtId="0" fontId="0" fillId="4" borderId="0" xfId="0" applyFill="1" applyBorder="1" applyAlignment="1" applyProtection="1">
      <alignment vertical="top"/>
    </xf>
    <xf numFmtId="0" fontId="51" fillId="4" borderId="15" xfId="0" applyFont="1" applyFill="1" applyBorder="1" applyAlignment="1" applyProtection="1">
      <alignment vertical="top" readingOrder="1"/>
    </xf>
    <xf numFmtId="171" fontId="51" fillId="4" borderId="0" xfId="0" applyNumberFormat="1" applyFont="1" applyFill="1" applyAlignment="1" applyProtection="1">
      <alignment vertical="top" readingOrder="1"/>
    </xf>
    <xf numFmtId="170" fontId="51" fillId="4" borderId="0" xfId="0" applyNumberFormat="1" applyFont="1" applyFill="1" applyAlignment="1" applyProtection="1">
      <alignment vertical="top" readingOrder="1"/>
    </xf>
    <xf numFmtId="170" fontId="51" fillId="4" borderId="0" xfId="0" applyNumberFormat="1" applyFont="1" applyFill="1" applyBorder="1" applyAlignment="1" applyProtection="1">
      <alignment vertical="top" readingOrder="1"/>
    </xf>
    <xf numFmtId="170" fontId="51" fillId="4" borderId="4" xfId="0" applyNumberFormat="1" applyFont="1" applyFill="1" applyBorder="1" applyAlignment="1" applyProtection="1">
      <alignment vertical="top" readingOrder="1"/>
    </xf>
    <xf numFmtId="0" fontId="52" fillId="4" borderId="15" xfId="0" applyFont="1" applyFill="1" applyBorder="1" applyAlignment="1" applyProtection="1">
      <alignment readingOrder="1"/>
    </xf>
    <xf numFmtId="0" fontId="49" fillId="4" borderId="15" xfId="0" applyFont="1" applyFill="1" applyBorder="1" applyAlignment="1" applyProtection="1">
      <alignment horizontal="right" readingOrder="1"/>
    </xf>
    <xf numFmtId="0" fontId="51" fillId="4" borderId="0" xfId="0" quotePrefix="1" applyFont="1" applyFill="1" applyAlignment="1" applyProtection="1">
      <alignment horizontal="left" vertical="top" readingOrder="1"/>
    </xf>
    <xf numFmtId="0" fontId="51" fillId="4" borderId="0" xfId="0" quotePrefix="1" applyFont="1" applyFill="1" applyAlignment="1" applyProtection="1">
      <alignment horizontal="right" vertical="top" readingOrder="1"/>
    </xf>
    <xf numFmtId="44" fontId="23" fillId="4" borderId="0" xfId="4" applyFont="1" applyFill="1"/>
    <xf numFmtId="4" fontId="51" fillId="4" borderId="0" xfId="0" applyNumberFormat="1" applyFont="1" applyFill="1" applyAlignment="1" applyProtection="1">
      <alignment horizontal="right" readingOrder="1"/>
    </xf>
    <xf numFmtId="4" fontId="51" fillId="0" borderId="0" xfId="0" applyNumberFormat="1" applyFont="1" applyFill="1" applyAlignment="1" applyProtection="1">
      <alignment horizontal="right" readingOrder="1"/>
      <protection locked="0"/>
    </xf>
    <xf numFmtId="0" fontId="51" fillId="0" borderId="0" xfId="0" applyFont="1" applyFill="1" applyAlignment="1" applyProtection="1">
      <alignment vertical="top" readingOrder="1"/>
      <protection locked="0"/>
    </xf>
    <xf numFmtId="172" fontId="51" fillId="4" borderId="16" xfId="0" applyNumberFormat="1" applyFont="1" applyFill="1" applyBorder="1" applyAlignment="1" applyProtection="1">
      <alignment vertical="top" readingOrder="1"/>
    </xf>
    <xf numFmtId="0" fontId="0" fillId="0" borderId="0" xfId="0" applyAlignment="1" applyProtection="1">
      <protection locked="0"/>
    </xf>
    <xf numFmtId="0" fontId="51" fillId="0" borderId="0" xfId="0" quotePrefix="1" applyFont="1" applyFill="1" applyAlignment="1" applyProtection="1">
      <alignment horizontal="left" vertical="top" readingOrder="1"/>
      <protection locked="0"/>
    </xf>
    <xf numFmtId="0" fontId="52" fillId="4" borderId="0" xfId="0" quotePrefix="1" applyFont="1" applyFill="1" applyBorder="1" applyAlignment="1" applyProtection="1">
      <alignment horizontal="left" readingOrder="1"/>
    </xf>
    <xf numFmtId="0" fontId="52" fillId="4" borderId="0" xfId="0" applyFont="1" applyFill="1" applyBorder="1" applyAlignment="1" applyProtection="1">
      <alignment readingOrder="1"/>
    </xf>
    <xf numFmtId="172" fontId="51" fillId="4" borderId="0" xfId="0" applyNumberFormat="1" applyFont="1" applyFill="1" applyBorder="1" applyAlignment="1" applyProtection="1">
      <alignment vertical="top" readingOrder="1"/>
    </xf>
    <xf numFmtId="0" fontId="0" fillId="4" borderId="15" xfId="0" applyFill="1" applyBorder="1" applyAlignment="1" applyProtection="1">
      <alignment vertical="top"/>
    </xf>
    <xf numFmtId="0" fontId="52" fillId="4" borderId="0" xfId="0" applyFont="1" applyFill="1" applyAlignment="1" applyProtection="1">
      <alignment readingOrder="1"/>
    </xf>
    <xf numFmtId="44" fontId="23" fillId="4" borderId="0" xfId="4" applyNumberFormat="1" applyFont="1" applyFill="1" applyAlignment="1" applyProtection="1"/>
    <xf numFmtId="44" fontId="23" fillId="0" borderId="0" xfId="4" applyNumberFormat="1" applyFont="1" applyFill="1" applyAlignment="1" applyProtection="1">
      <protection locked="0"/>
    </xf>
    <xf numFmtId="0" fontId="51" fillId="4" borderId="0" xfId="0" applyFont="1" applyFill="1" applyAlignment="1" applyProtection="1">
      <alignment horizontal="right" vertical="top" readingOrder="1"/>
    </xf>
    <xf numFmtId="0" fontId="0" fillId="4" borderId="0" xfId="0" quotePrefix="1" applyFill="1" applyAlignment="1">
      <alignment horizontal="left"/>
    </xf>
    <xf numFmtId="0" fontId="23" fillId="0" borderId="0" xfId="0" quotePrefix="1" applyFont="1" applyAlignment="1" applyProtection="1">
      <alignment horizontal="left"/>
    </xf>
    <xf numFmtId="0" fontId="53" fillId="0" borderId="0" xfId="5" applyAlignment="1" applyProtection="1"/>
    <xf numFmtId="41" fontId="9" fillId="18" borderId="0" xfId="0" applyNumberFormat="1" applyFont="1" applyFill="1" applyBorder="1"/>
    <xf numFmtId="41" fontId="24" fillId="18" borderId="0" xfId="0" applyNumberFormat="1" applyFont="1" applyFill="1"/>
    <xf numFmtId="41" fontId="5" fillId="3" borderId="0" xfId="1" applyNumberFormat="1" applyFont="1" applyFill="1" applyBorder="1"/>
    <xf numFmtId="41" fontId="5" fillId="0" borderId="0" xfId="1" applyNumberFormat="1" applyFont="1" applyFill="1" applyBorder="1"/>
    <xf numFmtId="0" fontId="5" fillId="0" borderId="1" xfId="0" applyFont="1" applyFill="1" applyBorder="1"/>
    <xf numFmtId="42" fontId="9" fillId="0" borderId="3" xfId="0" applyNumberFormat="1" applyFont="1" applyFill="1" applyBorder="1"/>
    <xf numFmtId="41" fontId="9" fillId="0" borderId="3" xfId="0" applyNumberFormat="1" applyFont="1" applyFill="1" applyBorder="1"/>
    <xf numFmtId="0" fontId="23" fillId="0" borderId="0" xfId="0" applyFont="1" applyFill="1" applyBorder="1" applyAlignment="1">
      <alignment vertical="center"/>
    </xf>
    <xf numFmtId="41" fontId="27" fillId="0" borderId="0" xfId="0" applyNumberFormat="1" applyFont="1" applyFill="1"/>
    <xf numFmtId="4" fontId="3" fillId="0" borderId="0" xfId="0" applyNumberFormat="1" applyFont="1"/>
    <xf numFmtId="43" fontId="3" fillId="0" borderId="0" xfId="0" applyNumberFormat="1" applyFont="1"/>
    <xf numFmtId="43" fontId="37" fillId="0" borderId="0" xfId="0" applyNumberFormat="1" applyFont="1" applyAlignment="1">
      <alignment vertical="top"/>
    </xf>
    <xf numFmtId="41" fontId="48" fillId="0" borderId="0" xfId="0" applyNumberFormat="1" applyFont="1" applyFill="1" applyBorder="1"/>
    <xf numFmtId="0" fontId="24" fillId="0" borderId="0" xfId="0" applyFont="1" applyFill="1"/>
    <xf numFmtId="44" fontId="24" fillId="0" borderId="0" xfId="0" applyNumberFormat="1" applyFont="1" applyFill="1"/>
    <xf numFmtId="0" fontId="24" fillId="0" borderId="0" xfId="0" quotePrefix="1" applyFont="1" applyFill="1" applyAlignment="1"/>
    <xf numFmtId="41" fontId="24" fillId="0" borderId="0" xfId="0" applyNumberFormat="1" applyFont="1" applyFill="1" applyBorder="1"/>
    <xf numFmtId="41" fontId="24" fillId="18" borderId="0" xfId="0" applyNumberFormat="1" applyFont="1" applyFill="1" applyBorder="1"/>
    <xf numFmtId="41" fontId="37" fillId="0" borderId="0" xfId="1" applyNumberFormat="1" applyFont="1" applyFill="1" applyAlignment="1">
      <alignment vertical="top"/>
    </xf>
    <xf numFmtId="41" fontId="38" fillId="2" borderId="2" xfId="1" applyNumberFormat="1" applyFont="1" applyFill="1" applyBorder="1" applyAlignment="1">
      <alignment vertical="top"/>
    </xf>
    <xf numFmtId="41" fontId="25" fillId="0" borderId="2" xfId="1" applyNumberFormat="1" applyFont="1" applyBorder="1"/>
    <xf numFmtId="43" fontId="5" fillId="3" borderId="0" xfId="1" applyNumberFormat="1" applyFont="1" applyFill="1" applyBorder="1"/>
    <xf numFmtId="41" fontId="48" fillId="0" borderId="0" xfId="0" applyNumberFormat="1" applyFont="1" applyFill="1"/>
    <xf numFmtId="41" fontId="5" fillId="11" borderId="0" xfId="0" applyNumberFormat="1" applyFont="1" applyFill="1" applyAlignment="1">
      <alignment horizontal="center" vertical="center"/>
    </xf>
    <xf numFmtId="41" fontId="5" fillId="11" borderId="3" xfId="0" applyNumberFormat="1" applyFont="1" applyFill="1" applyBorder="1" applyAlignment="1">
      <alignment horizontal="center" wrapText="1"/>
    </xf>
    <xf numFmtId="41" fontId="22" fillId="11" borderId="0" xfId="0" applyNumberFormat="1" applyFont="1" applyFill="1" applyBorder="1"/>
    <xf numFmtId="41" fontId="27" fillId="11" borderId="0" xfId="0" applyNumberFormat="1" applyFont="1" applyFill="1" applyBorder="1"/>
    <xf numFmtId="41" fontId="6" fillId="11" borderId="0" xfId="0" applyNumberFormat="1" applyFont="1" applyFill="1"/>
    <xf numFmtId="41" fontId="5" fillId="11" borderId="2" xfId="1" applyNumberFormat="1" applyFont="1" applyFill="1" applyBorder="1"/>
    <xf numFmtId="41" fontId="5" fillId="11" borderId="2" xfId="0" applyNumberFormat="1" applyFont="1" applyFill="1" applyBorder="1"/>
    <xf numFmtId="41" fontId="5" fillId="11" borderId="0" xfId="0" applyNumberFormat="1" applyFont="1" applyFill="1" applyBorder="1"/>
    <xf numFmtId="41" fontId="21" fillId="11" borderId="0" xfId="1" applyNumberFormat="1" applyFont="1" applyFill="1" applyBorder="1" applyAlignment="1">
      <alignment vertical="top"/>
    </xf>
    <xf numFmtId="41" fontId="45" fillId="11" borderId="4" xfId="1" applyNumberFormat="1" applyFont="1" applyFill="1" applyBorder="1" applyAlignment="1">
      <alignment vertical="top"/>
    </xf>
    <xf numFmtId="41" fontId="5" fillId="11" borderId="0" xfId="0" applyNumberFormat="1" applyFont="1" applyFill="1"/>
    <xf numFmtId="41" fontId="6" fillId="11" borderId="0" xfId="0" applyNumberFormat="1" applyFont="1" applyFill="1" applyBorder="1"/>
    <xf numFmtId="41" fontId="22" fillId="11" borderId="0" xfId="0" applyNumberFormat="1" applyFont="1" applyFill="1"/>
    <xf numFmtId="41" fontId="22" fillId="11" borderId="0" xfId="2" applyNumberFormat="1" applyFont="1" applyFill="1" applyBorder="1"/>
    <xf numFmtId="41" fontId="27" fillId="11" borderId="0" xfId="0" applyNumberFormat="1" applyFont="1" applyFill="1"/>
    <xf numFmtId="41" fontId="6" fillId="11" borderId="2" xfId="0" applyNumberFormat="1" applyFont="1" applyFill="1" applyBorder="1"/>
    <xf numFmtId="41" fontId="48" fillId="11" borderId="0" xfId="0" applyNumberFormat="1" applyFont="1" applyFill="1" applyBorder="1"/>
    <xf numFmtId="41" fontId="5" fillId="11" borderId="0" xfId="1" applyNumberFormat="1" applyFont="1" applyFill="1" applyBorder="1"/>
    <xf numFmtId="41" fontId="6" fillId="11" borderId="0" xfId="0" applyNumberFormat="1" applyFont="1" applyFill="1" applyAlignment="1">
      <alignment wrapText="1"/>
    </xf>
    <xf numFmtId="10" fontId="6" fillId="11" borderId="0" xfId="0" applyNumberFormat="1" applyFont="1" applyFill="1"/>
    <xf numFmtId="41" fontId="5" fillId="0" borderId="3" xfId="0" applyNumberFormat="1" applyFont="1" applyBorder="1" applyAlignment="1">
      <alignment horizontal="center"/>
    </xf>
    <xf numFmtId="41" fontId="5" fillId="0" borderId="0" xfId="0" applyNumberFormat="1" applyFont="1" applyFill="1" applyAlignment="1">
      <alignment wrapText="1"/>
    </xf>
    <xf numFmtId="43" fontId="56" fillId="4" borderId="0" xfId="3" applyFont="1" applyFill="1" applyAlignment="1" applyProtection="1"/>
    <xf numFmtId="43" fontId="24" fillId="18" borderId="0" xfId="0" applyNumberFormat="1" applyFont="1" applyFill="1" applyBorder="1"/>
    <xf numFmtId="43" fontId="24" fillId="18" borderId="0" xfId="0" applyNumberFormat="1" applyFont="1" applyFill="1"/>
    <xf numFmtId="43" fontId="9" fillId="18" borderId="0" xfId="0" applyNumberFormat="1" applyFont="1" applyFill="1" applyBorder="1"/>
    <xf numFmtId="43" fontId="25" fillId="2" borderId="2" xfId="1" applyNumberFormat="1" applyFont="1" applyFill="1" applyBorder="1"/>
    <xf numFmtId="43" fontId="37" fillId="0" borderId="0" xfId="0" applyNumberFormat="1" applyFont="1" applyFill="1" applyAlignment="1">
      <alignment vertical="top"/>
    </xf>
    <xf numFmtId="43" fontId="21" fillId="0" borderId="0" xfId="1" applyNumberFormat="1" applyFont="1" applyBorder="1" applyAlignment="1">
      <alignment vertical="top"/>
    </xf>
    <xf numFmtId="43" fontId="27" fillId="0" borderId="0" xfId="0" applyNumberFormat="1" applyFont="1" applyFill="1"/>
    <xf numFmtId="0" fontId="22" fillId="0" borderId="0" xfId="0" quotePrefix="1" applyFont="1" applyFill="1" applyBorder="1"/>
    <xf numFmtId="49" fontId="22" fillId="0" borderId="0" xfId="0" quotePrefix="1" applyNumberFormat="1" applyFont="1" applyFill="1" applyBorder="1"/>
    <xf numFmtId="43" fontId="9" fillId="0" borderId="0" xfId="0" applyNumberFormat="1" applyFont="1" applyFill="1" applyBorder="1"/>
    <xf numFmtId="3" fontId="9" fillId="0" borderId="0" xfId="0" applyNumberFormat="1" applyFont="1" applyFill="1" applyBorder="1"/>
    <xf numFmtId="10" fontId="6" fillId="0" borderId="0" xfId="0" applyNumberFormat="1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4" fontId="3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3" fillId="19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quotePrefix="1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4" fontId="8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13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6">
    <cellStyle name="Comma" xfId="1" builtinId="3"/>
    <cellStyle name="Comma 2" xfId="3" xr:uid="{00000000-0005-0000-0000-000001000000}"/>
    <cellStyle name="Currency" xfId="2" builtinId="4"/>
    <cellStyle name="Currency 2" xfId="4" xr:uid="{00000000-0005-0000-0000-000003000000}"/>
    <cellStyle name="Hyperlink" xfId="5" builtinId="8"/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fgColor indexed="64"/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4430</xdr:colOff>
      <xdr:row>10</xdr:row>
      <xdr:rowOff>152400</xdr:rowOff>
    </xdr:to>
    <xdr:pic>
      <xdr:nvPicPr>
        <xdr:cNvPr id="3" name="yui_3_10_0_1_1450113659946_1628" descr="money clip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23705" cy="2057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mdoe.state.mi.us/SAMSPublic/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opLeftCell="A7" zoomScaleNormal="100" workbookViewId="0">
      <selection activeCell="M22" sqref="M22"/>
    </sheetView>
  </sheetViews>
  <sheetFormatPr defaultColWidth="8.85546875" defaultRowHeight="15.75"/>
  <cols>
    <col min="1" max="1" width="9.5703125" style="6" customWidth="1"/>
    <col min="2" max="16384" width="8.85546875" style="6"/>
  </cols>
  <sheetData>
    <row r="1" spans="1:12" ht="15.6" customHeight="1">
      <c r="A1"/>
      <c r="D1" s="523" t="s">
        <v>87</v>
      </c>
      <c r="E1" s="523"/>
      <c r="F1" s="523"/>
      <c r="G1" s="523"/>
      <c r="H1" s="523"/>
      <c r="I1" s="523"/>
      <c r="J1" s="523"/>
      <c r="K1" s="7"/>
      <c r="L1" s="7"/>
    </row>
    <row r="2" spans="1:12" ht="15.6" customHeight="1">
      <c r="D2" s="523"/>
      <c r="E2" s="523"/>
      <c r="F2" s="523"/>
      <c r="G2" s="523"/>
      <c r="H2" s="523"/>
      <c r="I2" s="523"/>
      <c r="J2" s="523"/>
      <c r="K2" s="7"/>
      <c r="L2" s="7"/>
    </row>
    <row r="3" spans="1:12" ht="15.6" customHeight="1">
      <c r="D3" s="523"/>
      <c r="E3" s="523"/>
      <c r="F3" s="523"/>
      <c r="G3" s="523"/>
      <c r="H3" s="523"/>
      <c r="I3" s="523"/>
      <c r="J3" s="523"/>
      <c r="K3" s="7"/>
      <c r="L3" s="7"/>
    </row>
    <row r="4" spans="1:12" ht="15.6" customHeight="1">
      <c r="D4" s="523"/>
      <c r="E4" s="523"/>
      <c r="F4" s="523"/>
      <c r="G4" s="523"/>
      <c r="H4" s="523"/>
      <c r="I4" s="523"/>
      <c r="J4" s="523"/>
      <c r="K4" s="7"/>
      <c r="L4" s="7"/>
    </row>
    <row r="5" spans="1:12" ht="15.6" customHeight="1">
      <c r="D5" s="523"/>
      <c r="E5" s="523"/>
      <c r="F5" s="523"/>
      <c r="G5" s="523"/>
      <c r="H5" s="523"/>
      <c r="I5" s="523"/>
      <c r="J5" s="523"/>
      <c r="K5" s="7"/>
      <c r="L5" s="7"/>
    </row>
    <row r="6" spans="1:12" ht="15.6" customHeight="1">
      <c r="D6" s="523"/>
      <c r="E6" s="523"/>
      <c r="F6" s="523"/>
      <c r="G6" s="523"/>
      <c r="H6" s="523"/>
      <c r="I6" s="523"/>
      <c r="J6" s="523"/>
      <c r="K6" s="7"/>
      <c r="L6" s="7"/>
    </row>
    <row r="7" spans="1:12" ht="15.6" customHeight="1">
      <c r="D7" s="523"/>
      <c r="E7" s="523"/>
      <c r="F7" s="523"/>
      <c r="G7" s="523"/>
      <c r="H7" s="523"/>
      <c r="I7" s="523"/>
      <c r="J7" s="523"/>
      <c r="K7" s="7"/>
      <c r="L7" s="7"/>
    </row>
    <row r="8" spans="1:12" ht="15.6" customHeight="1">
      <c r="D8" s="523"/>
      <c r="E8" s="523"/>
      <c r="F8" s="523"/>
      <c r="G8" s="523"/>
      <c r="H8" s="523"/>
      <c r="I8" s="523"/>
      <c r="J8" s="523"/>
      <c r="K8" s="7"/>
      <c r="L8" s="7"/>
    </row>
    <row r="9" spans="1:12" ht="15.6" customHeight="1">
      <c r="D9" s="523"/>
      <c r="E9" s="523"/>
      <c r="F9" s="523"/>
      <c r="G9" s="523"/>
      <c r="H9" s="523"/>
      <c r="I9" s="523"/>
      <c r="J9" s="523"/>
      <c r="K9" s="7"/>
      <c r="L9" s="7"/>
    </row>
    <row r="10" spans="1:12" ht="15.6" customHeight="1">
      <c r="D10" s="523"/>
      <c r="E10" s="523"/>
      <c r="F10" s="523"/>
      <c r="G10" s="523"/>
      <c r="H10" s="523"/>
      <c r="I10" s="523"/>
      <c r="J10" s="523"/>
      <c r="K10" s="7"/>
      <c r="L10" s="7"/>
    </row>
    <row r="11" spans="1:12" ht="15.6" customHeight="1">
      <c r="D11" s="523"/>
      <c r="E11" s="523"/>
      <c r="F11" s="523"/>
      <c r="G11" s="523"/>
      <c r="H11" s="523"/>
      <c r="I11" s="523"/>
      <c r="J11" s="523"/>
      <c r="K11" s="7"/>
      <c r="L11" s="7"/>
    </row>
    <row r="13" spans="1:12">
      <c r="A13" s="3" t="s">
        <v>84</v>
      </c>
    </row>
    <row r="14" spans="1:12" ht="15.6" customHeight="1">
      <c r="A14" s="524" t="s">
        <v>86</v>
      </c>
      <c r="B14" s="524"/>
      <c r="C14" s="524"/>
      <c r="D14" s="524"/>
      <c r="E14" s="524"/>
      <c r="F14" s="524"/>
      <c r="G14" s="524"/>
      <c r="H14" s="524"/>
      <c r="I14" s="524"/>
      <c r="J14" s="524"/>
    </row>
    <row r="15" spans="1:12">
      <c r="A15" s="524"/>
      <c r="B15" s="524"/>
      <c r="C15" s="524"/>
      <c r="D15" s="524"/>
      <c r="E15" s="524"/>
      <c r="F15" s="524"/>
      <c r="G15" s="524"/>
      <c r="H15" s="524"/>
      <c r="I15" s="524"/>
      <c r="J15" s="524"/>
    </row>
    <row r="16" spans="1:12">
      <c r="A16" s="524"/>
      <c r="B16" s="524"/>
      <c r="C16" s="524"/>
      <c r="D16" s="524"/>
      <c r="E16" s="524"/>
      <c r="F16" s="524"/>
      <c r="G16" s="524"/>
      <c r="H16" s="524"/>
      <c r="I16" s="524"/>
      <c r="J16" s="524"/>
    </row>
    <row r="17" spans="1:10">
      <c r="A17" s="524"/>
      <c r="B17" s="524"/>
      <c r="C17" s="524"/>
      <c r="D17" s="524"/>
      <c r="E17" s="524"/>
      <c r="F17" s="524"/>
      <c r="G17" s="524"/>
      <c r="H17" s="524"/>
      <c r="I17" s="524"/>
      <c r="J17" s="524"/>
    </row>
    <row r="18" spans="1:10">
      <c r="A18" s="524"/>
      <c r="B18" s="524"/>
      <c r="C18" s="524"/>
      <c r="D18" s="524"/>
      <c r="E18" s="524"/>
      <c r="F18" s="524"/>
      <c r="G18" s="524"/>
      <c r="H18" s="524"/>
      <c r="I18" s="524"/>
      <c r="J18" s="524"/>
    </row>
    <row r="19" spans="1:10">
      <c r="A19" s="524"/>
      <c r="B19" s="524"/>
      <c r="C19" s="524"/>
      <c r="D19" s="524"/>
      <c r="E19" s="524"/>
      <c r="F19" s="524"/>
      <c r="G19" s="524"/>
      <c r="H19" s="524"/>
      <c r="I19" s="524"/>
      <c r="J19" s="524"/>
    </row>
    <row r="20" spans="1:10" ht="49.35" customHeight="1">
      <c r="A20" s="524"/>
      <c r="B20" s="524"/>
      <c r="C20" s="524"/>
      <c r="D20" s="524"/>
      <c r="E20" s="524"/>
      <c r="F20" s="524"/>
      <c r="G20" s="524"/>
      <c r="H20" s="524"/>
      <c r="I20" s="524"/>
      <c r="J20" s="524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3" t="s">
        <v>85</v>
      </c>
    </row>
    <row r="23" spans="1:10" ht="15.75" customHeight="1">
      <c r="A23" s="524" t="s">
        <v>88</v>
      </c>
      <c r="B23" s="524"/>
      <c r="C23" s="524"/>
      <c r="D23" s="524"/>
      <c r="E23" s="524"/>
      <c r="F23" s="524"/>
      <c r="G23" s="524"/>
      <c r="H23" s="524"/>
      <c r="I23" s="524"/>
      <c r="J23" s="524"/>
    </row>
    <row r="24" spans="1:10">
      <c r="A24" s="524"/>
      <c r="B24" s="524"/>
      <c r="C24" s="524"/>
      <c r="D24" s="524"/>
      <c r="E24" s="524"/>
      <c r="F24" s="524"/>
      <c r="G24" s="524"/>
      <c r="H24" s="524"/>
      <c r="I24" s="524"/>
      <c r="J24" s="524"/>
    </row>
    <row r="25" spans="1:10">
      <c r="A25" s="524"/>
      <c r="B25" s="524"/>
      <c r="C25" s="524"/>
      <c r="D25" s="524"/>
      <c r="E25" s="524"/>
      <c r="F25" s="524"/>
      <c r="G25" s="524"/>
      <c r="H25" s="524"/>
      <c r="I25" s="524"/>
      <c r="J25" s="524"/>
    </row>
    <row r="26" spans="1:10">
      <c r="A26" s="524"/>
      <c r="B26" s="524"/>
      <c r="C26" s="524"/>
      <c r="D26" s="524"/>
      <c r="E26" s="524"/>
      <c r="F26" s="524"/>
      <c r="G26" s="524"/>
      <c r="H26" s="524"/>
      <c r="I26" s="524"/>
      <c r="J26" s="524"/>
    </row>
    <row r="27" spans="1:10">
      <c r="A27" s="524"/>
      <c r="B27" s="524"/>
      <c r="C27" s="524"/>
      <c r="D27" s="524"/>
      <c r="E27" s="524"/>
      <c r="F27" s="524"/>
      <c r="G27" s="524"/>
      <c r="H27" s="524"/>
      <c r="I27" s="524"/>
      <c r="J27" s="524"/>
    </row>
    <row r="28" spans="1:10">
      <c r="A28" s="524"/>
      <c r="B28" s="524"/>
      <c r="C28" s="524"/>
      <c r="D28" s="524"/>
      <c r="E28" s="524"/>
      <c r="F28" s="524"/>
      <c r="G28" s="524"/>
      <c r="H28" s="524"/>
      <c r="I28" s="524"/>
      <c r="J28" s="524"/>
    </row>
    <row r="29" spans="1:10">
      <c r="A29" s="524"/>
      <c r="B29" s="524"/>
      <c r="C29" s="524"/>
      <c r="D29" s="524"/>
      <c r="E29" s="524"/>
      <c r="F29" s="524"/>
      <c r="G29" s="524"/>
      <c r="H29" s="524"/>
      <c r="I29" s="524"/>
      <c r="J29" s="524"/>
    </row>
    <row r="30" spans="1:10">
      <c r="A30" s="524"/>
      <c r="B30" s="524"/>
      <c r="C30" s="524"/>
      <c r="D30" s="524"/>
      <c r="E30" s="524"/>
      <c r="F30" s="524"/>
      <c r="G30" s="524"/>
      <c r="H30" s="524"/>
      <c r="I30" s="524"/>
      <c r="J30" s="524"/>
    </row>
    <row r="31" spans="1:10">
      <c r="A31" s="524"/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0">
      <c r="A32" s="524"/>
      <c r="B32" s="524"/>
      <c r="C32" s="524"/>
      <c r="D32" s="524"/>
      <c r="E32" s="524"/>
      <c r="F32" s="524"/>
      <c r="G32" s="524"/>
      <c r="H32" s="524"/>
      <c r="I32" s="524"/>
      <c r="J32" s="524"/>
    </row>
    <row r="33" spans="1:10">
      <c r="A33" s="524"/>
      <c r="B33" s="524"/>
      <c r="C33" s="524"/>
      <c r="D33" s="524"/>
      <c r="E33" s="524"/>
      <c r="F33" s="524"/>
      <c r="G33" s="524"/>
      <c r="H33" s="524"/>
      <c r="I33" s="524"/>
      <c r="J33" s="524"/>
    </row>
    <row r="34" spans="1:10">
      <c r="A34" s="524"/>
      <c r="B34" s="524"/>
      <c r="C34" s="524"/>
      <c r="D34" s="524"/>
      <c r="E34" s="524"/>
      <c r="F34" s="524"/>
      <c r="G34" s="524"/>
      <c r="H34" s="524"/>
      <c r="I34" s="524"/>
      <c r="J34" s="524"/>
    </row>
    <row r="35" spans="1:10">
      <c r="A35" s="524"/>
      <c r="B35" s="524"/>
      <c r="C35" s="524"/>
      <c r="D35" s="524"/>
      <c r="E35" s="524"/>
      <c r="F35" s="524"/>
      <c r="G35" s="524"/>
      <c r="H35" s="524"/>
      <c r="I35" s="524"/>
      <c r="J35" s="524"/>
    </row>
    <row r="36" spans="1:10">
      <c r="A36" s="524"/>
      <c r="B36" s="524"/>
      <c r="C36" s="524"/>
      <c r="D36" s="524"/>
      <c r="E36" s="524"/>
      <c r="F36" s="524"/>
      <c r="G36" s="524"/>
      <c r="H36" s="524"/>
      <c r="I36" s="524"/>
      <c r="J36" s="524"/>
    </row>
    <row r="37" spans="1:10">
      <c r="A37" s="524"/>
      <c r="B37" s="524"/>
      <c r="C37" s="524"/>
      <c r="D37" s="524"/>
      <c r="E37" s="524"/>
      <c r="F37" s="524"/>
      <c r="G37" s="524"/>
      <c r="H37" s="524"/>
      <c r="I37" s="524"/>
      <c r="J37" s="524"/>
    </row>
  </sheetData>
  <mergeCells count="3">
    <mergeCell ref="D1:J11"/>
    <mergeCell ref="A23:J37"/>
    <mergeCell ref="A14:J20"/>
  </mergeCells>
  <pageMargins left="0.7" right="0.7" top="0.75" bottom="0.75" header="0.3" footer="0.3"/>
  <pageSetup orientation="portrait" horizontalDpi="300" verticalDpi="300" r:id="rId1"/>
  <headerFooter>
    <oddFooter>Prepared by Rhonda &amp;D&amp;RPage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3"/>
  <sheetViews>
    <sheetView topLeftCell="A28" workbookViewId="0">
      <selection activeCell="F33" sqref="F33"/>
    </sheetView>
  </sheetViews>
  <sheetFormatPr defaultRowHeight="15"/>
  <cols>
    <col min="1" max="1" width="3.7109375" style="30" customWidth="1"/>
  </cols>
  <sheetData>
    <row r="1" spans="1:6">
      <c r="A1" s="31" t="s">
        <v>111</v>
      </c>
    </row>
    <row r="2" spans="1:6">
      <c r="A2" s="31" t="s">
        <v>112</v>
      </c>
    </row>
    <row r="5" spans="1:6" s="33" customFormat="1">
      <c r="A5" s="32" t="s">
        <v>113</v>
      </c>
      <c r="B5" s="33" t="s">
        <v>114</v>
      </c>
    </row>
    <row r="7" spans="1:6" s="58" customFormat="1">
      <c r="A7" s="57" t="s">
        <v>115</v>
      </c>
      <c r="B7" s="58" t="s">
        <v>200</v>
      </c>
    </row>
    <row r="8" spans="1:6">
      <c r="A8" s="29" t="s">
        <v>24</v>
      </c>
    </row>
    <row r="9" spans="1:6">
      <c r="A9" s="57" t="s">
        <v>116</v>
      </c>
      <c r="B9" s="58" t="s">
        <v>118</v>
      </c>
      <c r="C9" s="58"/>
    </row>
    <row r="11" spans="1:6">
      <c r="A11" s="57" t="s">
        <v>117</v>
      </c>
      <c r="B11" s="58" t="s">
        <v>139</v>
      </c>
      <c r="C11" s="58"/>
      <c r="D11" s="58"/>
      <c r="E11" s="58"/>
      <c r="F11" s="58"/>
    </row>
    <row r="13" spans="1:6">
      <c r="A13" s="32" t="s">
        <v>119</v>
      </c>
      <c r="B13" s="33" t="s">
        <v>129</v>
      </c>
      <c r="C13" s="33"/>
      <c r="D13" s="33"/>
    </row>
    <row r="15" spans="1:6">
      <c r="A15" s="57" t="s">
        <v>130</v>
      </c>
      <c r="B15" s="58" t="s">
        <v>131</v>
      </c>
      <c r="C15" s="58"/>
    </row>
    <row r="17" spans="1:10">
      <c r="A17" s="32" t="s">
        <v>132</v>
      </c>
      <c r="B17" s="33" t="s">
        <v>133</v>
      </c>
      <c r="C17" s="33"/>
      <c r="D17" s="33"/>
      <c r="E17" s="33"/>
    </row>
    <row r="19" spans="1:10">
      <c r="A19" s="57" t="s">
        <v>134</v>
      </c>
      <c r="B19" s="33" t="s">
        <v>162</v>
      </c>
      <c r="C19" s="33"/>
      <c r="D19" s="33"/>
      <c r="E19" s="33"/>
      <c r="F19" s="33"/>
      <c r="G19" s="33"/>
    </row>
    <row r="20" spans="1:10">
      <c r="A20" s="90"/>
    </row>
    <row r="21" spans="1:10">
      <c r="A21" s="57" t="s">
        <v>135</v>
      </c>
      <c r="B21" s="33" t="s">
        <v>150</v>
      </c>
      <c r="C21" s="33"/>
      <c r="D21" s="33"/>
      <c r="E21" s="33"/>
      <c r="F21" s="33"/>
      <c r="G21" s="33"/>
      <c r="H21" s="33"/>
      <c r="I21" s="33"/>
      <c r="J21" s="33"/>
    </row>
    <row r="22" spans="1:10">
      <c r="A22" s="90"/>
    </row>
    <row r="23" spans="1:10">
      <c r="A23" s="57" t="s">
        <v>136</v>
      </c>
      <c r="B23" s="33" t="s">
        <v>137</v>
      </c>
      <c r="C23" s="33"/>
    </row>
    <row r="25" spans="1:10">
      <c r="A25" s="32" t="s">
        <v>138</v>
      </c>
      <c r="B25" s="33" t="s">
        <v>144</v>
      </c>
      <c r="C25" s="33"/>
      <c r="D25" s="33"/>
      <c r="E25" s="33"/>
      <c r="F25" s="33"/>
      <c r="G25" s="33"/>
    </row>
    <row r="27" spans="1:10">
      <c r="A27" s="32" t="s">
        <v>140</v>
      </c>
      <c r="B27" s="33" t="s">
        <v>141</v>
      </c>
    </row>
    <row r="29" spans="1:10">
      <c r="A29" s="32" t="s">
        <v>142</v>
      </c>
      <c r="B29" s="33" t="s">
        <v>208</v>
      </c>
      <c r="C29" s="33"/>
      <c r="D29" s="33"/>
      <c r="E29" s="33"/>
    </row>
    <row r="31" spans="1:10">
      <c r="A31" s="57" t="s">
        <v>143</v>
      </c>
      <c r="B31" s="58" t="s">
        <v>239</v>
      </c>
      <c r="C31" s="58"/>
      <c r="D31" s="58"/>
      <c r="E31" s="58"/>
      <c r="F31" s="58"/>
      <c r="G31" s="58"/>
    </row>
    <row r="32" spans="1:10">
      <c r="A32" s="29" t="s">
        <v>24</v>
      </c>
    </row>
    <row r="33" spans="1:8">
      <c r="A33" s="57" t="s">
        <v>152</v>
      </c>
      <c r="B33" s="58" t="s">
        <v>193</v>
      </c>
      <c r="C33" s="58"/>
    </row>
    <row r="35" spans="1:8">
      <c r="A35" s="57" t="s">
        <v>153</v>
      </c>
      <c r="B35" s="58" t="s">
        <v>154</v>
      </c>
      <c r="C35" s="58"/>
      <c r="D35" s="58"/>
    </row>
    <row r="37" spans="1:8">
      <c r="A37" s="57" t="s">
        <v>155</v>
      </c>
      <c r="B37" s="58" t="s">
        <v>156</v>
      </c>
      <c r="C37" s="58"/>
      <c r="D37" s="58"/>
      <c r="E37" s="58"/>
      <c r="F37" s="58"/>
    </row>
    <row r="39" spans="1:8">
      <c r="A39" s="57" t="s">
        <v>158</v>
      </c>
      <c r="B39" s="58" t="s">
        <v>206</v>
      </c>
      <c r="C39" s="58"/>
      <c r="D39" s="58"/>
      <c r="E39" s="58"/>
      <c r="F39" s="58"/>
      <c r="G39" s="58"/>
      <c r="H39" s="58"/>
    </row>
    <row r="41" spans="1:8">
      <c r="A41" s="57" t="s">
        <v>207</v>
      </c>
      <c r="B41" s="58" t="s">
        <v>209</v>
      </c>
      <c r="C41" s="58"/>
      <c r="D41" s="58"/>
    </row>
    <row r="43" spans="1:8">
      <c r="A43" s="57" t="s">
        <v>210</v>
      </c>
      <c r="B43" s="58" t="s">
        <v>211</v>
      </c>
      <c r="C43" s="58"/>
      <c r="D43" s="58"/>
      <c r="E43" s="58"/>
      <c r="F43" s="58"/>
    </row>
    <row r="45" spans="1:8">
      <c r="A45" s="57" t="s">
        <v>212</v>
      </c>
      <c r="B45" s="58" t="s">
        <v>213</v>
      </c>
      <c r="C45" s="58"/>
      <c r="D45" s="58"/>
      <c r="E45" s="58"/>
      <c r="F45" s="58"/>
    </row>
    <row r="47" spans="1:8">
      <c r="A47" s="57" t="s">
        <v>214</v>
      </c>
      <c r="B47" s="58" t="s">
        <v>215</v>
      </c>
      <c r="C47" s="58"/>
      <c r="D47" s="58"/>
      <c r="E47" s="58"/>
    </row>
    <row r="49" spans="1:5">
      <c r="A49" s="57" t="s">
        <v>216</v>
      </c>
      <c r="B49" s="58" t="s">
        <v>217</v>
      </c>
      <c r="C49" s="58"/>
    </row>
    <row r="51" spans="1:5">
      <c r="A51" s="57" t="s">
        <v>218</v>
      </c>
      <c r="B51" s="58" t="s">
        <v>219</v>
      </c>
      <c r="C51" s="58"/>
    </row>
    <row r="53" spans="1:5">
      <c r="A53" s="57" t="s">
        <v>220</v>
      </c>
      <c r="B53" s="58" t="s">
        <v>228</v>
      </c>
      <c r="C53" s="58"/>
      <c r="D53" s="58"/>
      <c r="E53" s="5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79"/>
  <sheetViews>
    <sheetView topLeftCell="A19" workbookViewId="0">
      <selection activeCell="B29" sqref="B29"/>
    </sheetView>
  </sheetViews>
  <sheetFormatPr defaultRowHeight="15"/>
  <cols>
    <col min="1" max="1" width="9.85546875" customWidth="1"/>
    <col min="2" max="2" width="15" customWidth="1"/>
    <col min="3" max="3" width="2" customWidth="1"/>
    <col min="4" max="4" width="13.42578125" customWidth="1"/>
    <col min="6" max="6" width="31.28515625" customWidth="1"/>
    <col min="7" max="7" width="2.140625" customWidth="1"/>
    <col min="8" max="8" width="12.85546875" bestFit="1" customWidth="1"/>
    <col min="9" max="9" width="11.28515625" bestFit="1" customWidth="1"/>
    <col min="10" max="10" width="11.7109375" bestFit="1" customWidth="1"/>
  </cols>
  <sheetData>
    <row r="1" spans="1:11">
      <c r="A1" s="28" t="s">
        <v>121</v>
      </c>
    </row>
    <row r="2" spans="1:11">
      <c r="A2" s="28" t="s">
        <v>122</v>
      </c>
    </row>
    <row r="7" spans="1:11">
      <c r="A7" s="43" t="s">
        <v>123</v>
      </c>
      <c r="B7" s="38"/>
      <c r="C7" s="38"/>
      <c r="D7" s="38"/>
      <c r="F7" s="78" t="s">
        <v>194</v>
      </c>
      <c r="G7" s="79"/>
      <c r="H7" s="79"/>
      <c r="I7" s="79"/>
    </row>
    <row r="8" spans="1:11">
      <c r="A8" s="38"/>
      <c r="B8" s="37" t="s">
        <v>124</v>
      </c>
      <c r="C8" s="37"/>
      <c r="D8" s="38"/>
      <c r="F8" s="80" t="s">
        <v>195</v>
      </c>
      <c r="G8" s="79"/>
      <c r="H8" s="81">
        <v>40500</v>
      </c>
      <c r="I8" s="79"/>
    </row>
    <row r="9" spans="1:11">
      <c r="A9" s="38"/>
      <c r="B9" s="37" t="s">
        <v>125</v>
      </c>
      <c r="C9" s="37"/>
      <c r="D9" s="39">
        <v>1800</v>
      </c>
      <c r="F9" s="80" t="s">
        <v>196</v>
      </c>
      <c r="G9" s="79"/>
      <c r="H9" s="81">
        <v>22500</v>
      </c>
      <c r="I9" s="79"/>
    </row>
    <row r="10" spans="1:11">
      <c r="A10" s="38"/>
      <c r="B10" s="37" t="s">
        <v>126</v>
      </c>
      <c r="C10" s="37"/>
      <c r="D10" s="39">
        <v>1000</v>
      </c>
      <c r="F10" s="80" t="s">
        <v>21</v>
      </c>
      <c r="G10" s="79"/>
      <c r="H10" s="81">
        <v>25000</v>
      </c>
      <c r="I10" s="79"/>
    </row>
    <row r="11" spans="1:11">
      <c r="A11" s="38"/>
      <c r="B11" s="37" t="s">
        <v>127</v>
      </c>
      <c r="C11" s="37"/>
      <c r="D11" s="39">
        <v>9000</v>
      </c>
      <c r="F11" s="79"/>
      <c r="G11" s="79"/>
      <c r="H11" s="81"/>
      <c r="I11" s="79"/>
    </row>
    <row r="12" spans="1:11" ht="7.5" customHeight="1">
      <c r="A12" s="38"/>
      <c r="B12" s="38"/>
      <c r="C12" s="38"/>
      <c r="D12" s="39"/>
      <c r="F12" s="79"/>
      <c r="G12" s="79"/>
      <c r="H12" s="81"/>
      <c r="I12" s="79"/>
    </row>
    <row r="13" spans="1:11" ht="15.75" thickBot="1">
      <c r="A13" s="38"/>
      <c r="B13" s="38"/>
      <c r="C13" s="38"/>
      <c r="D13" s="40">
        <f>SUM(D9:D12)</f>
        <v>11800</v>
      </c>
      <c r="F13" s="79"/>
      <c r="G13" s="79"/>
      <c r="H13" s="82">
        <f>SUM(H8:H12)</f>
        <v>88000</v>
      </c>
      <c r="I13" s="79"/>
    </row>
    <row r="14" spans="1:11" ht="15.75" thickTop="1">
      <c r="H14" s="77"/>
    </row>
    <row r="15" spans="1:11">
      <c r="H15" s="77"/>
      <c r="K15" s="83"/>
    </row>
    <row r="16" spans="1:11">
      <c r="A16" s="42" t="s">
        <v>151</v>
      </c>
      <c r="B16" s="34"/>
      <c r="C16" s="34"/>
      <c r="D16" s="35"/>
      <c r="F16" s="89" t="s">
        <v>197</v>
      </c>
      <c r="G16" s="85"/>
      <c r="H16" s="86"/>
      <c r="I16" s="85"/>
      <c r="K16" s="83"/>
    </row>
    <row r="17" spans="1:13">
      <c r="A17" s="35"/>
      <c r="B17" s="44" t="s">
        <v>145</v>
      </c>
      <c r="C17" s="44"/>
      <c r="D17" s="44" t="s">
        <v>146</v>
      </c>
      <c r="F17" s="84" t="s">
        <v>195</v>
      </c>
      <c r="G17" s="85"/>
      <c r="H17" s="87">
        <v>179389</v>
      </c>
      <c r="I17" s="85"/>
    </row>
    <row r="18" spans="1:13">
      <c r="A18" s="35" t="s">
        <v>147</v>
      </c>
      <c r="B18" s="34" t="e">
        <f>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</f>
        <v>#REF!</v>
      </c>
      <c r="C18" s="34"/>
      <c r="D18" s="34" t="e">
        <f>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</f>
        <v>#REF!</v>
      </c>
      <c r="F18" s="84" t="s">
        <v>196</v>
      </c>
      <c r="G18" s="85"/>
      <c r="H18" s="87">
        <v>28095</v>
      </c>
      <c r="I18" s="85"/>
    </row>
    <row r="19" spans="1:13">
      <c r="A19" s="35" t="s">
        <v>148</v>
      </c>
      <c r="B19" s="41">
        <v>0.11700000000000001</v>
      </c>
      <c r="C19" s="36"/>
      <c r="D19" s="41">
        <v>0.11700000000000001</v>
      </c>
      <c r="F19" s="85"/>
      <c r="G19" s="85"/>
      <c r="H19" s="87"/>
      <c r="I19" s="85"/>
    </row>
    <row r="20" spans="1:13" ht="4.5" customHeight="1">
      <c r="A20" s="35"/>
      <c r="B20" s="34"/>
      <c r="C20" s="34"/>
      <c r="D20" s="35"/>
      <c r="F20" s="85"/>
      <c r="G20" s="85"/>
      <c r="H20" s="87"/>
      <c r="I20" s="85"/>
    </row>
    <row r="21" spans="1:13" ht="15.75" thickBot="1">
      <c r="A21" s="35"/>
      <c r="B21" s="34" t="e">
        <f>Worksheet!B18*B19</f>
        <v>#REF!</v>
      </c>
      <c r="C21" s="34"/>
      <c r="D21" s="34" t="e">
        <f>D18*D19</f>
        <v>#REF!</v>
      </c>
      <c r="F21" s="85"/>
      <c r="G21" s="85"/>
      <c r="H21" s="88">
        <f>SUM(H17:H20)</f>
        <v>207484</v>
      </c>
      <c r="I21" s="85"/>
    </row>
    <row r="22" spans="1:13" ht="15.75" thickTop="1">
      <c r="A22" s="35" t="s">
        <v>89</v>
      </c>
      <c r="B22" s="34" t="e">
        <f>B21-D21</f>
        <v>#REF!</v>
      </c>
      <c r="C22" s="34"/>
      <c r="D22" s="34"/>
      <c r="H22" s="69"/>
    </row>
    <row r="23" spans="1:13" ht="56.25" customHeight="1">
      <c r="A23" s="35"/>
      <c r="B23" s="34"/>
      <c r="C23" s="34"/>
      <c r="D23" s="35"/>
      <c r="F23" s="540" t="s">
        <v>201</v>
      </c>
      <c r="G23" s="540"/>
      <c r="H23" s="540"/>
      <c r="I23" s="540"/>
      <c r="J23" s="540"/>
      <c r="K23" s="540"/>
      <c r="L23" s="540"/>
      <c r="M23" s="540"/>
    </row>
    <row r="24" spans="1:13">
      <c r="A24" s="35"/>
      <c r="B24" s="44" t="s">
        <v>149</v>
      </c>
      <c r="C24" s="44"/>
      <c r="D24" s="44" t="s">
        <v>145</v>
      </c>
      <c r="H24" s="69"/>
    </row>
    <row r="25" spans="1:13" ht="15.75" thickBot="1">
      <c r="A25" s="35" t="s">
        <v>147</v>
      </c>
      <c r="B25" s="34"/>
      <c r="C25" s="34"/>
      <c r="D25" s="34" t="e">
        <f>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+EXPENSE!#REF!</f>
        <v>#REF!</v>
      </c>
      <c r="F25" s="91" t="s">
        <v>221</v>
      </c>
      <c r="G25" s="92"/>
      <c r="H25" s="93">
        <v>12</v>
      </c>
      <c r="I25" s="92"/>
      <c r="J25" s="92"/>
      <c r="K25" s="92"/>
    </row>
    <row r="26" spans="1:13" ht="15.75" thickTop="1">
      <c r="A26" s="35" t="s">
        <v>148</v>
      </c>
      <c r="B26" s="46"/>
      <c r="C26" s="36"/>
      <c r="D26" s="41">
        <v>0.1053</v>
      </c>
      <c r="F26" s="92"/>
      <c r="G26" s="92"/>
      <c r="H26" s="92"/>
      <c r="I26" s="92"/>
      <c r="J26" s="92"/>
      <c r="K26" s="92"/>
    </row>
    <row r="27" spans="1:13" ht="9" customHeight="1">
      <c r="A27" s="35"/>
      <c r="B27" s="34"/>
      <c r="C27" s="34"/>
      <c r="D27" s="35"/>
      <c r="F27" s="92"/>
      <c r="G27" s="92"/>
      <c r="H27" s="92"/>
      <c r="I27" s="92"/>
      <c r="J27" s="92"/>
      <c r="K27" s="92"/>
    </row>
    <row r="28" spans="1:13">
      <c r="A28" s="45" t="s">
        <v>157</v>
      </c>
      <c r="B28" s="34">
        <v>134219</v>
      </c>
      <c r="C28" s="34"/>
      <c r="D28" s="34" t="e">
        <f>D25*D26</f>
        <v>#REF!</v>
      </c>
      <c r="F28" s="92"/>
      <c r="G28" s="92"/>
      <c r="H28" s="94" t="s">
        <v>224</v>
      </c>
      <c r="I28" s="95"/>
      <c r="J28" s="94" t="s">
        <v>225</v>
      </c>
      <c r="K28" s="92"/>
    </row>
    <row r="29" spans="1:13" ht="15.75" thickBot="1">
      <c r="A29" s="35" t="s">
        <v>89</v>
      </c>
      <c r="B29" s="34" t="e">
        <f>B28-D28</f>
        <v>#REF!</v>
      </c>
      <c r="C29" s="34"/>
      <c r="D29" s="34"/>
      <c r="F29" s="96" t="s">
        <v>222</v>
      </c>
      <c r="G29" s="92"/>
      <c r="H29" s="107">
        <v>230</v>
      </c>
      <c r="I29" s="92"/>
      <c r="J29" s="106">
        <f>H29*8</f>
        <v>1840</v>
      </c>
      <c r="K29" s="92"/>
    </row>
    <row r="30" spans="1:13" ht="15.75" thickTop="1">
      <c r="F30" s="99"/>
      <c r="G30" s="92"/>
      <c r="H30" s="97"/>
      <c r="I30" s="92"/>
      <c r="J30" s="98"/>
      <c r="K30" s="92"/>
    </row>
    <row r="31" spans="1:13" ht="15.75" thickBot="1">
      <c r="A31" s="47" t="s">
        <v>159</v>
      </c>
      <c r="B31" s="48"/>
      <c r="C31" s="48"/>
      <c r="D31" s="48"/>
      <c r="F31" s="96" t="s">
        <v>223</v>
      </c>
      <c r="G31" s="92"/>
      <c r="H31" s="103"/>
      <c r="I31" s="92"/>
      <c r="J31" s="104">
        <f>H25*J29*1.17</f>
        <v>25833.599999999999</v>
      </c>
      <c r="K31" s="92"/>
    </row>
    <row r="32" spans="1:13" ht="15.75" thickTop="1">
      <c r="A32" s="49" t="s">
        <v>160</v>
      </c>
      <c r="B32" s="48"/>
      <c r="C32" s="48"/>
      <c r="D32" s="48">
        <v>273.18</v>
      </c>
      <c r="F32" s="101"/>
      <c r="G32" s="100"/>
      <c r="H32" s="102"/>
      <c r="I32" s="100"/>
      <c r="J32" s="98"/>
      <c r="K32" s="92"/>
    </row>
    <row r="33" spans="1:11" ht="15.75" thickBot="1">
      <c r="A33" s="50" t="s">
        <v>161</v>
      </c>
      <c r="B33" s="48"/>
      <c r="C33" s="48"/>
      <c r="D33" s="48">
        <v>2.84</v>
      </c>
      <c r="F33" s="96" t="s">
        <v>226</v>
      </c>
      <c r="G33" s="92"/>
      <c r="H33" s="92"/>
      <c r="I33" s="92"/>
      <c r="J33" s="105">
        <f>H25*J29</f>
        <v>22080</v>
      </c>
      <c r="K33" s="92"/>
    </row>
    <row r="34" spans="1:11" ht="3.75" customHeight="1" thickTop="1">
      <c r="A34" s="48"/>
      <c r="B34" s="48"/>
      <c r="C34" s="48"/>
      <c r="D34" s="48"/>
      <c r="F34" s="92"/>
      <c r="G34" s="92"/>
      <c r="H34" s="92"/>
      <c r="I34" s="100"/>
      <c r="J34" s="92"/>
      <c r="K34" s="92"/>
    </row>
    <row r="35" spans="1:11" ht="15.75" thickBot="1">
      <c r="A35" s="48"/>
      <c r="B35" s="48"/>
      <c r="C35" s="48"/>
      <c r="D35" s="48">
        <f>SUM(D32:D34)</f>
        <v>276.02</v>
      </c>
      <c r="F35" s="96" t="s">
        <v>227</v>
      </c>
      <c r="G35" s="100"/>
      <c r="H35" s="102"/>
      <c r="I35" s="100"/>
      <c r="J35" s="105">
        <f>J33*1.4399</f>
        <v>31792.991999999998</v>
      </c>
      <c r="K35" s="92"/>
    </row>
    <row r="36" spans="1:11" ht="15.75" thickTop="1">
      <c r="A36" s="48"/>
      <c r="B36" s="48"/>
      <c r="C36" s="48"/>
      <c r="D36" s="51">
        <v>83.33</v>
      </c>
      <c r="F36" s="101"/>
      <c r="G36" s="100"/>
      <c r="H36" s="102"/>
      <c r="I36" s="92"/>
      <c r="J36" s="98"/>
      <c r="K36" s="92"/>
    </row>
    <row r="37" spans="1:11" ht="15.75" thickBot="1">
      <c r="A37" s="48"/>
      <c r="B37" s="48"/>
      <c r="C37" s="48"/>
      <c r="D37" s="52">
        <f>D35*D36</f>
        <v>23000.746599999999</v>
      </c>
      <c r="F37" s="109"/>
      <c r="G37" s="110"/>
      <c r="H37" s="111"/>
      <c r="I37" s="110"/>
      <c r="J37" s="112"/>
      <c r="K37" s="110"/>
    </row>
    <row r="38" spans="1:11" ht="15.75" thickTop="1">
      <c r="F38" s="114" t="s">
        <v>229</v>
      </c>
      <c r="G38" s="115"/>
      <c r="H38" s="116"/>
      <c r="I38" s="117"/>
      <c r="J38" s="116"/>
      <c r="K38" s="117"/>
    </row>
    <row r="39" spans="1:11">
      <c r="A39" s="59" t="s">
        <v>167</v>
      </c>
      <c r="B39" s="54"/>
      <c r="C39" s="54"/>
      <c r="D39" s="54"/>
      <c r="F39" s="118" t="s">
        <v>230</v>
      </c>
      <c r="G39" s="115"/>
      <c r="H39" s="122">
        <v>13451</v>
      </c>
      <c r="I39" s="122">
        <f>H39/H$44*I$44</f>
        <v>-2768.0326299760713</v>
      </c>
      <c r="J39" s="122">
        <f>SUM(H39:I39)</f>
        <v>10682.967370023929</v>
      </c>
      <c r="K39" s="117"/>
    </row>
    <row r="40" spans="1:11">
      <c r="A40" s="53" t="s">
        <v>163</v>
      </c>
      <c r="B40" s="54"/>
      <c r="C40" s="54"/>
      <c r="D40" s="55">
        <v>6000</v>
      </c>
      <c r="F40" s="119" t="s">
        <v>231</v>
      </c>
      <c r="G40" s="115"/>
      <c r="H40" s="122">
        <v>3918</v>
      </c>
      <c r="I40" s="122">
        <f>H40/H$44*I$44</f>
        <v>-806.27104633456599</v>
      </c>
      <c r="J40" s="122">
        <f>SUM(H40:I40)</f>
        <v>3111.7289536654339</v>
      </c>
      <c r="K40" s="117"/>
    </row>
    <row r="41" spans="1:11">
      <c r="A41" s="53" t="s">
        <v>164</v>
      </c>
      <c r="B41" s="54"/>
      <c r="C41" s="54"/>
      <c r="D41" s="55">
        <v>885</v>
      </c>
      <c r="F41" s="118" t="s">
        <v>232</v>
      </c>
      <c r="G41" s="115"/>
      <c r="H41" s="122">
        <v>5616</v>
      </c>
      <c r="I41" s="122">
        <f>H41/H$44*I$44</f>
        <v>-1155.6963236893625</v>
      </c>
      <c r="J41" s="122">
        <f>SUM(H41:I41)</f>
        <v>4460.3036763106375</v>
      </c>
      <c r="K41" s="117"/>
    </row>
    <row r="42" spans="1:11">
      <c r="A42" s="53" t="s">
        <v>165</v>
      </c>
      <c r="B42" s="54"/>
      <c r="C42" s="54"/>
      <c r="D42" s="55">
        <v>100</v>
      </c>
      <c r="F42" s="115"/>
      <c r="G42" s="115"/>
      <c r="H42" s="122"/>
      <c r="I42" s="122"/>
      <c r="J42" s="122"/>
      <c r="K42" s="117"/>
    </row>
    <row r="43" spans="1:11" ht="6" customHeight="1">
      <c r="A43" s="54"/>
      <c r="B43" s="54"/>
      <c r="C43" s="54"/>
      <c r="D43" s="55"/>
      <c r="F43" s="115"/>
      <c r="G43" s="115"/>
      <c r="H43" s="122"/>
      <c r="I43" s="122"/>
      <c r="J43" s="122"/>
      <c r="K43" s="117"/>
    </row>
    <row r="44" spans="1:11" ht="15.75" thickBot="1">
      <c r="A44" s="54"/>
      <c r="B44" s="54"/>
      <c r="C44" s="54"/>
      <c r="D44" s="56">
        <f>SUM(D40:D43)</f>
        <v>6985</v>
      </c>
      <c r="F44" s="115"/>
      <c r="G44" s="115"/>
      <c r="H44" s="123">
        <f>SUM(H39:H43)</f>
        <v>22985</v>
      </c>
      <c r="I44" s="123">
        <v>-4730</v>
      </c>
      <c r="J44" s="123">
        <f>SUM(J39:J43)</f>
        <v>18255</v>
      </c>
      <c r="K44" s="117"/>
    </row>
    <row r="45" spans="1:11" ht="15.75" thickTop="1">
      <c r="A45" s="54"/>
      <c r="B45" s="54"/>
      <c r="C45" s="54"/>
      <c r="D45" s="55"/>
      <c r="F45" s="110"/>
      <c r="G45" s="110"/>
      <c r="H45" s="11"/>
      <c r="I45" s="11"/>
      <c r="J45" s="11"/>
      <c r="K45" s="113"/>
    </row>
    <row r="46" spans="1:11">
      <c r="F46" s="42" t="s">
        <v>233</v>
      </c>
      <c r="G46" s="35"/>
      <c r="H46" s="124"/>
      <c r="I46" s="124"/>
      <c r="J46" s="129"/>
      <c r="K46" s="113"/>
    </row>
    <row r="47" spans="1:11">
      <c r="A47" s="60" t="s">
        <v>168</v>
      </c>
      <c r="B47" s="61"/>
      <c r="C47" s="61"/>
      <c r="D47" s="61"/>
      <c r="F47" s="125" t="s">
        <v>234</v>
      </c>
      <c r="G47" s="35"/>
      <c r="H47" s="126">
        <v>3173</v>
      </c>
      <c r="I47" s="126">
        <f>H47/H$54*I$54</f>
        <v>-1775.5166015625</v>
      </c>
      <c r="J47" s="126">
        <f>SUM(H47:I47)</f>
        <v>1397.4833984375</v>
      </c>
      <c r="K47" s="108"/>
    </row>
    <row r="48" spans="1:11">
      <c r="A48" s="62" t="s">
        <v>169</v>
      </c>
      <c r="B48" s="61"/>
      <c r="C48" s="61"/>
      <c r="D48" s="63">
        <v>17.75</v>
      </c>
      <c r="F48" s="125" t="s">
        <v>235</v>
      </c>
      <c r="G48" s="35"/>
      <c r="H48" s="127">
        <v>288</v>
      </c>
      <c r="I48" s="126">
        <f>H48/H$54*I$54</f>
        <v>-161.15625</v>
      </c>
      <c r="J48" s="126">
        <f>SUM(H48:I48)</f>
        <v>126.84375</v>
      </c>
    </row>
    <row r="49" spans="1:10">
      <c r="A49" s="62" t="s">
        <v>170</v>
      </c>
      <c r="B49" s="61"/>
      <c r="C49" s="61"/>
      <c r="D49" s="61">
        <v>4</v>
      </c>
      <c r="F49" s="125" t="s">
        <v>236</v>
      </c>
      <c r="G49" s="35"/>
      <c r="H49" s="127">
        <v>89</v>
      </c>
      <c r="I49" s="126">
        <f>H49/H$54*I$54</f>
        <v>-49.8017578125</v>
      </c>
      <c r="J49" s="126">
        <f>SUM(H49:I49)</f>
        <v>39.1982421875</v>
      </c>
    </row>
    <row r="50" spans="1:10">
      <c r="A50" s="62" t="s">
        <v>171</v>
      </c>
      <c r="B50" s="61"/>
      <c r="C50" s="61"/>
      <c r="D50" s="61">
        <v>260</v>
      </c>
      <c r="F50" s="125" t="s">
        <v>237</v>
      </c>
      <c r="G50" s="35"/>
      <c r="H50" s="127">
        <v>2720</v>
      </c>
      <c r="I50" s="126">
        <f>H50/H$54*I$54</f>
        <v>-1522.03125</v>
      </c>
      <c r="J50" s="126">
        <f>SUM(H50:I50)</f>
        <v>1197.96875</v>
      </c>
    </row>
    <row r="51" spans="1:10" ht="6" customHeight="1">
      <c r="A51" s="61"/>
      <c r="B51" s="61"/>
      <c r="C51" s="61"/>
      <c r="D51" s="61"/>
      <c r="F51" s="125"/>
      <c r="G51" s="35"/>
      <c r="H51" s="127"/>
      <c r="I51" s="127"/>
      <c r="J51" s="127"/>
    </row>
    <row r="52" spans="1:10" ht="15.75" thickBot="1">
      <c r="A52" s="62" t="s">
        <v>172</v>
      </c>
      <c r="B52" s="61"/>
      <c r="C52" s="61"/>
      <c r="D52" s="64">
        <f>D48*D49*D50</f>
        <v>18460</v>
      </c>
      <c r="F52" s="125" t="s">
        <v>238</v>
      </c>
      <c r="G52" s="35"/>
      <c r="H52" s="127">
        <v>1922</v>
      </c>
      <c r="I52" s="126">
        <f>H52/H$54*I$54</f>
        <v>-1075.494140625</v>
      </c>
      <c r="J52" s="126">
        <f>SUM(H52:I52)</f>
        <v>846.505859375</v>
      </c>
    </row>
    <row r="53" spans="1:10" ht="15.75" thickTop="1">
      <c r="F53" s="125"/>
      <c r="G53" s="35"/>
      <c r="H53" s="127"/>
      <c r="I53" s="127"/>
      <c r="J53" s="127"/>
    </row>
    <row r="54" spans="1:10" ht="15.75" thickBot="1">
      <c r="A54" s="141" t="s">
        <v>240</v>
      </c>
      <c r="B54" s="137"/>
      <c r="C54" s="137"/>
      <c r="D54" s="137"/>
      <c r="F54" s="125"/>
      <c r="G54" s="35"/>
      <c r="H54" s="128">
        <f>SUM(H47:H53)</f>
        <v>8192</v>
      </c>
      <c r="I54" s="128">
        <v>-4584</v>
      </c>
      <c r="J54" s="128">
        <f>SUM(J47:J53)</f>
        <v>3608</v>
      </c>
    </row>
    <row r="55" spans="1:10" ht="15.75" thickTop="1">
      <c r="A55" s="136" t="s">
        <v>1</v>
      </c>
      <c r="B55" s="137"/>
      <c r="C55" s="137"/>
      <c r="D55" s="138">
        <v>47059</v>
      </c>
      <c r="F55" s="125"/>
      <c r="G55" s="35"/>
      <c r="H55" s="35"/>
      <c r="I55" s="35"/>
      <c r="J55" s="35"/>
    </row>
    <row r="56" spans="1:10">
      <c r="A56" s="136" t="s">
        <v>241</v>
      </c>
      <c r="B56" s="137"/>
      <c r="C56" s="137"/>
      <c r="D56" s="138">
        <v>30963</v>
      </c>
      <c r="F56" s="125"/>
      <c r="G56" s="35"/>
      <c r="H56" s="34">
        <v>30736</v>
      </c>
      <c r="I56" s="133">
        <f>H56/H$75*I$75</f>
        <v>65.022019247211077</v>
      </c>
      <c r="J56" s="131"/>
    </row>
    <row r="57" spans="1:10" ht="15.75" thickBot="1">
      <c r="A57" s="136" t="s">
        <v>242</v>
      </c>
      <c r="B57" s="137"/>
      <c r="C57" s="137"/>
      <c r="D57" s="139">
        <f>SUM(D55:D56)</f>
        <v>78022</v>
      </c>
      <c r="F57" s="35"/>
      <c r="G57" s="35"/>
      <c r="H57" s="34">
        <v>93544</v>
      </c>
      <c r="I57" s="133">
        <f t="shared" ref="I57:I73" si="0">H57/H$75*I$75</f>
        <v>197.89236623051511</v>
      </c>
      <c r="J57" s="131"/>
    </row>
    <row r="58" spans="1:10" ht="15.75" thickTop="1">
      <c r="A58" s="137"/>
      <c r="B58" s="137"/>
      <c r="C58" s="137"/>
      <c r="D58" s="137"/>
      <c r="F58" s="35"/>
      <c r="G58" s="35"/>
      <c r="H58" s="34">
        <v>125284</v>
      </c>
      <c r="I58" s="133">
        <f t="shared" si="0"/>
        <v>265.03834784511946</v>
      </c>
      <c r="J58" s="131"/>
    </row>
    <row r="59" spans="1:10">
      <c r="A59" s="141" t="s">
        <v>243</v>
      </c>
      <c r="B59" s="137"/>
      <c r="C59" s="137"/>
      <c r="D59" s="137"/>
      <c r="F59" s="35"/>
      <c r="G59" s="35"/>
      <c r="H59" s="34">
        <v>32125</v>
      </c>
      <c r="I59" s="133">
        <f t="shared" si="0"/>
        <v>67.960449255487234</v>
      </c>
      <c r="J59" s="131"/>
    </row>
    <row r="60" spans="1:10" ht="15.75" thickBot="1">
      <c r="A60" s="136" t="s">
        <v>63</v>
      </c>
      <c r="B60" s="137"/>
      <c r="C60" s="137"/>
      <c r="D60" s="142">
        <v>314370</v>
      </c>
      <c r="F60" s="35"/>
      <c r="G60" s="35"/>
      <c r="H60" s="34">
        <v>19451</v>
      </c>
      <c r="I60" s="133">
        <f t="shared" si="0"/>
        <v>41.148597617695948</v>
      </c>
      <c r="J60" s="131"/>
    </row>
    <row r="61" spans="1:10" ht="16.5" thickTop="1" thickBot="1">
      <c r="A61" s="136" t="s">
        <v>244</v>
      </c>
      <c r="B61" s="137"/>
      <c r="C61" s="137"/>
      <c r="D61" s="142">
        <f>D60/D57</f>
        <v>4.0292481607751656</v>
      </c>
      <c r="F61" s="35"/>
      <c r="G61" s="35"/>
      <c r="H61" s="34">
        <v>19541</v>
      </c>
      <c r="I61" s="133">
        <f t="shared" si="0"/>
        <v>41.338992650629606</v>
      </c>
      <c r="J61" s="131"/>
    </row>
    <row r="62" spans="1:10" ht="15.75" thickTop="1">
      <c r="A62" s="137"/>
      <c r="B62" s="137"/>
      <c r="C62" s="137"/>
      <c r="D62" s="137"/>
      <c r="F62" s="35"/>
      <c r="G62" s="35"/>
      <c r="H62" s="34">
        <v>27322</v>
      </c>
      <c r="I62" s="133">
        <f t="shared" si="0"/>
        <v>57.799700997927545</v>
      </c>
      <c r="J62" s="131"/>
    </row>
    <row r="63" spans="1:10">
      <c r="A63" s="136" t="s">
        <v>245</v>
      </c>
      <c r="B63" s="137"/>
      <c r="C63" s="137"/>
      <c r="D63" s="137"/>
      <c r="F63" s="35"/>
      <c r="G63" s="35"/>
      <c r="H63" s="34">
        <v>27322</v>
      </c>
      <c r="I63" s="133">
        <f t="shared" si="0"/>
        <v>57.799700997927545</v>
      </c>
      <c r="J63" s="131"/>
    </row>
    <row r="64" spans="1:10">
      <c r="A64" s="136" t="s">
        <v>246</v>
      </c>
      <c r="B64" s="137"/>
      <c r="C64" s="137"/>
      <c r="D64" s="138">
        <v>624</v>
      </c>
      <c r="F64" s="35"/>
      <c r="G64" s="35"/>
      <c r="H64" s="34">
        <v>12443</v>
      </c>
      <c r="I64" s="133">
        <f t="shared" si="0"/>
        <v>26.323171053261564</v>
      </c>
      <c r="J64" s="131"/>
    </row>
    <row r="65" spans="1:10">
      <c r="A65" s="136" t="s">
        <v>247</v>
      </c>
      <c r="B65" s="137"/>
      <c r="C65" s="137"/>
      <c r="D65" s="138">
        <v>588</v>
      </c>
      <c r="F65" s="45"/>
      <c r="G65" s="35"/>
      <c r="H65" s="34">
        <v>32500</v>
      </c>
      <c r="I65" s="133">
        <f t="shared" si="0"/>
        <v>68.753761892710827</v>
      </c>
      <c r="J65" s="131"/>
    </row>
    <row r="66" spans="1:10" ht="15.75" thickBot="1">
      <c r="A66" s="137"/>
      <c r="B66" s="137"/>
      <c r="C66" s="137"/>
      <c r="D66" s="139">
        <f>SUM(D64:D65)</f>
        <v>1212</v>
      </c>
      <c r="F66" s="45"/>
      <c r="G66" s="35"/>
      <c r="H66" s="34">
        <v>53895</v>
      </c>
      <c r="I66" s="133">
        <f t="shared" si="0"/>
        <v>114.01489222177385</v>
      </c>
      <c r="J66" s="131"/>
    </row>
    <row r="67" spans="1:10" ht="15.75" thickTop="1">
      <c r="A67" s="137"/>
      <c r="B67" s="137"/>
      <c r="C67" s="137"/>
      <c r="D67" s="137"/>
      <c r="F67" s="35"/>
      <c r="G67" s="35"/>
      <c r="H67" s="34">
        <v>16771</v>
      </c>
      <c r="I67" s="133">
        <f t="shared" si="0"/>
        <v>35.47905663700471</v>
      </c>
      <c r="J67" s="131"/>
    </row>
    <row r="68" spans="1:10">
      <c r="A68" s="143" t="s">
        <v>248</v>
      </c>
      <c r="B68" s="137"/>
      <c r="C68" s="137"/>
      <c r="D68" s="140">
        <f>D66*D61</f>
        <v>4883.4487708595007</v>
      </c>
      <c r="F68" s="35"/>
      <c r="G68" s="35"/>
      <c r="H68" s="34">
        <v>30000</v>
      </c>
      <c r="I68" s="133">
        <f t="shared" si="0"/>
        <v>63.465010977886912</v>
      </c>
      <c r="J68" s="131"/>
    </row>
    <row r="69" spans="1:10">
      <c r="A69" s="143" t="s">
        <v>249</v>
      </c>
      <c r="B69" s="137"/>
      <c r="C69" s="137"/>
      <c r="D69" s="144">
        <v>0.1</v>
      </c>
      <c r="F69" s="35"/>
      <c r="G69" s="35"/>
      <c r="H69" s="34">
        <v>12109</v>
      </c>
      <c r="I69" s="133">
        <f t="shared" si="0"/>
        <v>25.616593931041088</v>
      </c>
      <c r="J69" s="131"/>
    </row>
    <row r="70" spans="1:10" ht="15.75" thickBot="1">
      <c r="A70" s="137"/>
      <c r="B70" s="137"/>
      <c r="C70" s="137"/>
      <c r="D70" s="145">
        <f>D68*1.1</f>
        <v>5371.7936479454511</v>
      </c>
      <c r="F70" s="35"/>
      <c r="G70" s="35"/>
      <c r="H70" s="34">
        <v>4629</v>
      </c>
      <c r="I70" s="133">
        <f t="shared" si="0"/>
        <v>9.7926511938879521</v>
      </c>
      <c r="J70" s="131"/>
    </row>
    <row r="71" spans="1:10" ht="15.75" thickTop="1">
      <c r="F71" s="35"/>
      <c r="G71" s="35"/>
      <c r="H71" s="34">
        <v>3500</v>
      </c>
      <c r="I71" s="133">
        <f t="shared" si="0"/>
        <v>7.4042512807534742</v>
      </c>
      <c r="J71" s="131"/>
    </row>
    <row r="72" spans="1:10">
      <c r="F72" s="35"/>
      <c r="G72" s="35"/>
      <c r="H72" s="34">
        <v>12444</v>
      </c>
      <c r="I72" s="133">
        <f t="shared" si="0"/>
        <v>26.325286553627492</v>
      </c>
      <c r="J72" s="131"/>
    </row>
    <row r="73" spans="1:10">
      <c r="F73" s="35"/>
      <c r="G73" s="35"/>
      <c r="H73" s="34">
        <v>31196</v>
      </c>
      <c r="I73" s="133">
        <f t="shared" si="0"/>
        <v>65.995149415538677</v>
      </c>
      <c r="J73" s="131"/>
    </row>
    <row r="74" spans="1:10" ht="2.25" customHeight="1">
      <c r="F74" s="35"/>
      <c r="G74" s="35"/>
      <c r="H74" s="34"/>
      <c r="I74" s="133"/>
      <c r="J74" s="131"/>
    </row>
    <row r="75" spans="1:10" ht="15.75" thickBot="1">
      <c r="F75" s="35"/>
      <c r="G75" s="35"/>
      <c r="H75" s="132">
        <f>SUM(H56:H74)</f>
        <v>584812</v>
      </c>
      <c r="I75" s="134">
        <v>1237.17</v>
      </c>
      <c r="J75" s="131"/>
    </row>
    <row r="76" spans="1:10" ht="15.75" thickTop="1">
      <c r="H76" s="121"/>
      <c r="I76" s="130"/>
      <c r="J76" s="120"/>
    </row>
    <row r="77" spans="1:10">
      <c r="H77" s="121"/>
      <c r="I77" s="121"/>
      <c r="J77" s="121"/>
    </row>
    <row r="78" spans="1:10">
      <c r="H78" s="121"/>
      <c r="I78" s="121"/>
      <c r="J78" s="121"/>
    </row>
    <row r="79" spans="1:10">
      <c r="H79" s="121"/>
      <c r="I79" s="121"/>
      <c r="J79" s="121"/>
    </row>
  </sheetData>
  <mergeCells count="1">
    <mergeCell ref="F23:M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1"/>
  <sheetViews>
    <sheetView zoomScaleNormal="100" workbookViewId="0">
      <selection activeCell="G13" sqref="G13"/>
    </sheetView>
  </sheetViews>
  <sheetFormatPr defaultRowHeight="15"/>
  <cols>
    <col min="1" max="1" width="12" customWidth="1"/>
    <col min="2" max="2" width="2.42578125" customWidth="1"/>
    <col min="5" max="5" width="11.42578125" customWidth="1"/>
    <col min="6" max="6" width="2.140625" customWidth="1"/>
    <col min="8" max="8" width="2.140625" customWidth="1"/>
    <col min="12" max="12" width="0.5703125" customWidth="1"/>
    <col min="13" max="13" width="12.42578125" customWidth="1"/>
    <col min="14" max="14" width="17" customWidth="1"/>
    <col min="15" max="15" width="14.28515625" bestFit="1" customWidth="1"/>
    <col min="16" max="16" width="13.7109375" customWidth="1"/>
    <col min="17" max="17" width="13.42578125" bestFit="1" customWidth="1"/>
  </cols>
  <sheetData>
    <row r="1" spans="1:17">
      <c r="A1" s="65" t="s">
        <v>189</v>
      </c>
    </row>
    <row r="2" spans="1:17">
      <c r="A2" s="65" t="s">
        <v>190</v>
      </c>
    </row>
    <row r="3" spans="1:17">
      <c r="A3" s="65" t="s">
        <v>191</v>
      </c>
    </row>
    <row r="4" spans="1:17">
      <c r="A4" s="28"/>
    </row>
    <row r="5" spans="1:17">
      <c r="A5" s="28"/>
    </row>
    <row r="6" spans="1:17" ht="15.75" thickBot="1">
      <c r="A6" s="65" t="s">
        <v>188</v>
      </c>
      <c r="D6" s="70">
        <v>7511</v>
      </c>
    </row>
    <row r="7" spans="1:17" ht="15.75" thickTop="1"/>
    <row r="9" spans="1:17">
      <c r="A9" s="65" t="s">
        <v>175</v>
      </c>
      <c r="E9" s="65" t="s">
        <v>176</v>
      </c>
    </row>
    <row r="10" spans="1:17">
      <c r="A10" t="s">
        <v>173</v>
      </c>
      <c r="C10" s="68">
        <v>222.94</v>
      </c>
      <c r="E10" t="s">
        <v>173</v>
      </c>
      <c r="G10" s="68">
        <v>222.94</v>
      </c>
    </row>
    <row r="11" spans="1:17">
      <c r="A11" t="s">
        <v>174</v>
      </c>
      <c r="C11" s="68">
        <v>58.16</v>
      </c>
      <c r="E11" t="s">
        <v>174</v>
      </c>
      <c r="G11" s="68">
        <v>58.16</v>
      </c>
    </row>
    <row r="12" spans="1:17" ht="2.25" customHeight="1">
      <c r="C12" s="68"/>
      <c r="G12" s="68"/>
    </row>
    <row r="13" spans="1:17" ht="15.75" thickBot="1">
      <c r="C13" s="76">
        <f>SUM(C10:C12)</f>
        <v>281.10000000000002</v>
      </c>
      <c r="G13" s="76">
        <f>SUM(G10:G12)</f>
        <v>281.10000000000002</v>
      </c>
    </row>
    <row r="14" spans="1:17" ht="15.75" thickTop="1"/>
    <row r="15" spans="1:17" ht="30" customHeight="1">
      <c r="M15" s="541" t="s">
        <v>184</v>
      </c>
      <c r="N15" s="541"/>
      <c r="O15" s="541"/>
    </row>
    <row r="16" spans="1:17" ht="45">
      <c r="I16" s="66" t="s">
        <v>180</v>
      </c>
      <c r="J16" s="66" t="s">
        <v>181</v>
      </c>
      <c r="K16" s="67" t="s">
        <v>182</v>
      </c>
      <c r="M16" s="67" t="s">
        <v>185</v>
      </c>
      <c r="N16" s="67" t="s">
        <v>186</v>
      </c>
      <c r="O16" s="67" t="s">
        <v>187</v>
      </c>
      <c r="P16" s="67" t="s">
        <v>89</v>
      </c>
      <c r="Q16" s="67" t="s">
        <v>192</v>
      </c>
    </row>
    <row r="17" spans="1:17">
      <c r="A17" s="71" t="s">
        <v>183</v>
      </c>
      <c r="B17" s="72"/>
      <c r="C17" s="72"/>
      <c r="D17" s="72"/>
      <c r="E17" s="72"/>
      <c r="F17" s="72"/>
      <c r="G17" s="72"/>
      <c r="H17" s="72"/>
      <c r="I17" s="73">
        <f>C13*0.1</f>
        <v>28.110000000000003</v>
      </c>
      <c r="J17" s="73">
        <f>G13*0.9</f>
        <v>252.99000000000004</v>
      </c>
      <c r="K17" s="73">
        <f>SUM(I17:J17)</f>
        <v>281.10000000000002</v>
      </c>
      <c r="L17" s="72"/>
      <c r="M17" s="74">
        <v>839274.86</v>
      </c>
      <c r="N17" s="74">
        <v>572504.23</v>
      </c>
      <c r="O17" s="74">
        <f>SUM(M17:N17)</f>
        <v>1411779.0899999999</v>
      </c>
      <c r="P17" s="72"/>
      <c r="Q17" s="74" t="e">
        <f>Summary!#REF!</f>
        <v>#REF!</v>
      </c>
    </row>
    <row r="19" spans="1:17">
      <c r="A19" s="28" t="s">
        <v>177</v>
      </c>
      <c r="I19" s="68">
        <f>C13*0.5</f>
        <v>140.55000000000001</v>
      </c>
      <c r="J19" s="68">
        <f>G13*0.5</f>
        <v>140.55000000000001</v>
      </c>
      <c r="K19" s="68">
        <f>SUM(I19:J19)</f>
        <v>281.10000000000002</v>
      </c>
      <c r="M19" s="69">
        <v>954413.68</v>
      </c>
      <c r="N19" s="69">
        <v>632108.92000000004</v>
      </c>
      <c r="O19" s="69">
        <f>SUM(M19:N19)</f>
        <v>1586522.6</v>
      </c>
      <c r="P19" s="69">
        <f>O19-O17</f>
        <v>174743.51000000024</v>
      </c>
      <c r="Q19" s="69" t="e">
        <f>Q17+P19</f>
        <v>#REF!</v>
      </c>
    </row>
    <row r="20" spans="1:17">
      <c r="I20" s="68"/>
      <c r="J20" s="68"/>
      <c r="K20" s="68"/>
      <c r="M20" s="69"/>
      <c r="N20" s="69"/>
      <c r="O20" s="69"/>
      <c r="P20" s="69"/>
      <c r="Q20" s="69"/>
    </row>
    <row r="21" spans="1:17">
      <c r="A21" s="28" t="s">
        <v>179</v>
      </c>
      <c r="I21" s="68">
        <f>C13*0.25</f>
        <v>70.275000000000006</v>
      </c>
      <c r="J21" s="68">
        <f>G13*0.75</f>
        <v>210.82500000000002</v>
      </c>
      <c r="K21" s="68">
        <f>SUM(I21:J21)</f>
        <v>281.10000000000002</v>
      </c>
      <c r="M21" s="69">
        <v>882434.75</v>
      </c>
      <c r="N21" s="69">
        <v>594847.93000000005</v>
      </c>
      <c r="O21" s="69">
        <f>SUM(M21:N21)</f>
        <v>1477282.6800000002</v>
      </c>
      <c r="P21" s="69">
        <f>O21-O17</f>
        <v>65503.590000000317</v>
      </c>
      <c r="Q21" s="69" t="e">
        <f>Q17+P21</f>
        <v>#REF!</v>
      </c>
    </row>
    <row r="22" spans="1:17">
      <c r="I22" s="68"/>
      <c r="J22" s="68"/>
      <c r="K22" s="68"/>
      <c r="M22" s="69"/>
      <c r="N22" s="69"/>
      <c r="O22" s="69"/>
      <c r="P22" s="69"/>
      <c r="Q22" s="69"/>
    </row>
    <row r="23" spans="1:17">
      <c r="A23" s="28" t="s">
        <v>178</v>
      </c>
      <c r="I23" s="68">
        <f>C13*0.15</f>
        <v>42.164999999999999</v>
      </c>
      <c r="J23" s="68">
        <f>G13*0.85</f>
        <v>238.935</v>
      </c>
      <c r="K23" s="68">
        <f>SUM(I23:J23)</f>
        <v>281.10000000000002</v>
      </c>
      <c r="M23" s="69">
        <v>853660.57</v>
      </c>
      <c r="N23" s="69">
        <v>579953.48</v>
      </c>
      <c r="O23" s="69">
        <f>SUM(M23:N23)</f>
        <v>1433614.0499999998</v>
      </c>
      <c r="P23" s="69">
        <f>O23-O17</f>
        <v>21834.959999999963</v>
      </c>
      <c r="Q23" s="69" t="e">
        <f>Q17+P23</f>
        <v>#REF!</v>
      </c>
    </row>
    <row r="24" spans="1:17">
      <c r="I24" s="68"/>
      <c r="J24" s="68"/>
      <c r="K24" s="68"/>
      <c r="M24" s="69"/>
      <c r="N24" s="69"/>
      <c r="O24" s="69"/>
      <c r="P24" s="69"/>
      <c r="Q24" s="69"/>
    </row>
    <row r="26" spans="1:17">
      <c r="I26" s="68"/>
      <c r="J26" s="68"/>
      <c r="K26" s="68"/>
    </row>
    <row r="27" spans="1:17">
      <c r="I27" s="68"/>
      <c r="J27" s="68"/>
      <c r="K27" s="68"/>
    </row>
    <row r="29" spans="1:17">
      <c r="N29" s="75"/>
    </row>
    <row r="30" spans="1:17">
      <c r="N30" s="75"/>
    </row>
    <row r="31" spans="1:17">
      <c r="N31" s="75"/>
    </row>
  </sheetData>
  <mergeCells count="1">
    <mergeCell ref="M15:O15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zoomScaleNormal="100" workbookViewId="0">
      <selection activeCell="A11" sqref="A11"/>
    </sheetView>
  </sheetViews>
  <sheetFormatPr defaultRowHeight="15"/>
  <cols>
    <col min="1" max="16384" width="9.140625" style="257"/>
  </cols>
  <sheetData>
    <row r="2" spans="1:10" ht="44.25">
      <c r="A2" s="526" t="s">
        <v>1390</v>
      </c>
      <c r="B2" s="526"/>
      <c r="C2" s="526"/>
      <c r="D2" s="526"/>
      <c r="E2" s="526"/>
      <c r="F2" s="526"/>
      <c r="G2" s="526"/>
      <c r="H2" s="526"/>
      <c r="I2" s="526"/>
      <c r="J2" s="526"/>
    </row>
    <row r="7" spans="1:10" ht="44.25">
      <c r="A7" s="526" t="s">
        <v>918</v>
      </c>
      <c r="B7" s="526"/>
      <c r="C7" s="526"/>
      <c r="D7" s="526"/>
      <c r="E7" s="526"/>
      <c r="F7" s="526"/>
      <c r="G7" s="526"/>
      <c r="H7" s="526"/>
      <c r="I7" s="526"/>
      <c r="J7" s="526"/>
    </row>
    <row r="10" spans="1:10" ht="44.25">
      <c r="A10" s="526" t="s">
        <v>1485</v>
      </c>
      <c r="B10" s="526"/>
      <c r="C10" s="526"/>
      <c r="D10" s="526"/>
      <c r="E10" s="526"/>
      <c r="F10" s="526"/>
      <c r="G10" s="526"/>
      <c r="H10" s="526"/>
      <c r="I10" s="526"/>
      <c r="J10" s="526"/>
    </row>
    <row r="12" spans="1:10" ht="44.25">
      <c r="A12" s="526" t="s">
        <v>917</v>
      </c>
      <c r="B12" s="526"/>
      <c r="C12" s="526"/>
      <c r="D12" s="526"/>
      <c r="E12" s="526"/>
      <c r="F12" s="526"/>
      <c r="G12" s="526"/>
      <c r="H12" s="526"/>
      <c r="I12" s="526"/>
      <c r="J12" s="526"/>
    </row>
    <row r="15" spans="1:10" ht="20.25">
      <c r="A15" s="527">
        <v>44677</v>
      </c>
      <c r="B15" s="527"/>
      <c r="C15" s="527"/>
      <c r="D15" s="527"/>
      <c r="E15" s="527"/>
      <c r="F15" s="527"/>
      <c r="G15" s="527"/>
      <c r="H15" s="527"/>
      <c r="I15" s="527"/>
      <c r="J15" s="527"/>
    </row>
    <row r="16" spans="1:10">
      <c r="C16" s="528"/>
      <c r="D16" s="528"/>
      <c r="E16" s="528"/>
      <c r="F16" s="528"/>
      <c r="G16" s="528"/>
    </row>
    <row r="18" spans="1:10" s="258" customFormat="1" ht="27.75">
      <c r="C18" s="376" t="s">
        <v>1480</v>
      </c>
      <c r="D18" s="377"/>
      <c r="E18" s="377"/>
      <c r="F18" s="377"/>
      <c r="G18" s="377"/>
    </row>
    <row r="21" spans="1:10" ht="27">
      <c r="A21" s="525" t="s">
        <v>1454</v>
      </c>
      <c r="B21" s="525"/>
      <c r="C21" s="525"/>
      <c r="D21" s="525"/>
      <c r="E21" s="525"/>
      <c r="F21" s="525"/>
      <c r="G21" s="525"/>
      <c r="H21" s="525"/>
      <c r="I21" s="525"/>
      <c r="J21" s="525"/>
    </row>
  </sheetData>
  <mergeCells count="7">
    <mergeCell ref="A21:J21"/>
    <mergeCell ref="A2:J2"/>
    <mergeCell ref="A7:J7"/>
    <mergeCell ref="A10:J10"/>
    <mergeCell ref="A12:J12"/>
    <mergeCell ref="A15:J15"/>
    <mergeCell ref="C16:G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6"/>
  <sheetViews>
    <sheetView zoomScaleNormal="100" workbookViewId="0">
      <selection activeCell="C73" sqref="C73"/>
    </sheetView>
  </sheetViews>
  <sheetFormatPr defaultColWidth="8.85546875" defaultRowHeight="12.75"/>
  <cols>
    <col min="1" max="1" width="8.85546875" style="1"/>
    <col min="2" max="2" width="35.28515625" style="1" customWidth="1"/>
    <col min="3" max="3" width="22.28515625" style="1" bestFit="1" customWidth="1"/>
    <col min="4" max="4" width="8.85546875" style="1"/>
    <col min="5" max="5" width="11.5703125" style="1" bestFit="1" customWidth="1"/>
    <col min="6" max="6" width="8.85546875" style="1"/>
    <col min="7" max="7" width="10.140625" style="1" bestFit="1" customWidth="1"/>
    <col min="8" max="16384" width="8.85546875" style="1"/>
  </cols>
  <sheetData>
    <row r="1" spans="1:6">
      <c r="A1" s="529" t="s">
        <v>297</v>
      </c>
      <c r="B1" s="529"/>
      <c r="C1" s="529"/>
      <c r="D1" s="529"/>
      <c r="E1" s="529"/>
      <c r="F1" s="529"/>
    </row>
    <row r="2" spans="1:6">
      <c r="A2" s="529" t="s">
        <v>33</v>
      </c>
      <c r="B2" s="529"/>
      <c r="C2" s="529"/>
      <c r="D2" s="529"/>
      <c r="E2" s="529"/>
      <c r="F2" s="529"/>
    </row>
    <row r="3" spans="1:6">
      <c r="A3" s="529" t="s">
        <v>301</v>
      </c>
      <c r="B3" s="529"/>
      <c r="C3" s="529"/>
      <c r="D3" s="529"/>
      <c r="E3" s="529"/>
      <c r="F3" s="529"/>
    </row>
    <row r="4" spans="1:6">
      <c r="A4" s="530" t="s">
        <v>1347</v>
      </c>
      <c r="B4" s="530"/>
      <c r="C4" s="530"/>
      <c r="D4" s="530"/>
      <c r="E4" s="530"/>
      <c r="F4" s="530"/>
    </row>
    <row r="5" spans="1:6" ht="4.7" customHeight="1"/>
    <row r="6" spans="1:6">
      <c r="A6" s="1" t="s">
        <v>889</v>
      </c>
    </row>
    <row r="7" spans="1:6">
      <c r="A7" s="1" t="s">
        <v>1348</v>
      </c>
    </row>
    <row r="8" spans="1:6">
      <c r="A8" s="1" t="s">
        <v>303</v>
      </c>
    </row>
    <row r="9" spans="1:6">
      <c r="A9" s="1" t="s">
        <v>34</v>
      </c>
    </row>
    <row r="10" spans="1:6" ht="4.3499999999999996" customHeight="1"/>
    <row r="11" spans="1:6">
      <c r="A11" s="1" t="s">
        <v>35</v>
      </c>
    </row>
    <row r="12" spans="1:6">
      <c r="A12" s="1" t="s">
        <v>302</v>
      </c>
    </row>
    <row r="13" spans="1:6">
      <c r="A13" s="1" t="s">
        <v>1349</v>
      </c>
    </row>
    <row r="14" spans="1:6" ht="4.3499999999999996" customHeight="1"/>
    <row r="15" spans="1:6">
      <c r="A15" s="2" t="s">
        <v>36</v>
      </c>
    </row>
    <row r="16" spans="1:6">
      <c r="B16" s="1" t="s">
        <v>37</v>
      </c>
      <c r="C16" s="18">
        <f>Summary!L13</f>
        <v>634279.61</v>
      </c>
      <c r="E16" s="16"/>
    </row>
    <row r="17" spans="1:7">
      <c r="B17" s="1" t="s">
        <v>39</v>
      </c>
      <c r="C17" s="18">
        <f>Summary!L14</f>
        <v>2711410.9499999997</v>
      </c>
      <c r="E17" s="13"/>
    </row>
    <row r="18" spans="1:7">
      <c r="B18" s="1" t="s">
        <v>40</v>
      </c>
      <c r="C18" s="18">
        <f>Summary!L15</f>
        <v>2400509.1500000004</v>
      </c>
      <c r="E18" s="13"/>
    </row>
    <row r="19" spans="1:7">
      <c r="B19" s="1" t="s">
        <v>41</v>
      </c>
      <c r="C19" s="27">
        <f>Summary!L16+Summary!L17</f>
        <v>17678</v>
      </c>
      <c r="G19" s="16"/>
    </row>
    <row r="20" spans="1:7">
      <c r="C20" s="27"/>
    </row>
    <row r="21" spans="1:7">
      <c r="B21" s="1" t="s">
        <v>42</v>
      </c>
      <c r="C21" s="160">
        <f>SUM(C16:C20)</f>
        <v>5763877.71</v>
      </c>
      <c r="D21" s="156"/>
      <c r="E21" s="16"/>
      <c r="G21" s="16"/>
    </row>
    <row r="22" spans="1:7">
      <c r="C22" s="13"/>
    </row>
    <row r="23" spans="1:7">
      <c r="A23" s="1" t="s">
        <v>1429</v>
      </c>
      <c r="C23" s="18">
        <f>Summary!L9</f>
        <v>809470.79</v>
      </c>
    </row>
    <row r="24" spans="1:7">
      <c r="C24" s="18" t="s">
        <v>873</v>
      </c>
    </row>
    <row r="25" spans="1:7">
      <c r="A25" s="1" t="s">
        <v>43</v>
      </c>
      <c r="C25" s="18">
        <v>0</v>
      </c>
    </row>
    <row r="26" spans="1:7">
      <c r="C26" s="18"/>
    </row>
    <row r="27" spans="1:7">
      <c r="A27" s="1" t="s">
        <v>44</v>
      </c>
      <c r="C27" s="18">
        <f>C23-C25</f>
        <v>809470.79</v>
      </c>
    </row>
    <row r="28" spans="1:7">
      <c r="C28" s="27"/>
    </row>
    <row r="29" spans="1:7" ht="13.5" thickBot="1">
      <c r="B29" s="1" t="s">
        <v>45</v>
      </c>
      <c r="C29" s="292">
        <f>C21+C27</f>
        <v>6573348.5</v>
      </c>
    </row>
    <row r="30" spans="1:7" ht="13.5" thickTop="1">
      <c r="C30" s="27"/>
    </row>
    <row r="31" spans="1:7">
      <c r="A31" s="1" t="s">
        <v>1484</v>
      </c>
      <c r="C31" s="27"/>
    </row>
    <row r="32" spans="1:7">
      <c r="A32" s="1" t="s">
        <v>46</v>
      </c>
      <c r="C32" s="27"/>
    </row>
    <row r="33" spans="1:3">
      <c r="C33" s="27"/>
    </row>
    <row r="34" spans="1:3">
      <c r="A34" s="2" t="s">
        <v>47</v>
      </c>
      <c r="C34" s="27"/>
    </row>
    <row r="35" spans="1:3">
      <c r="B35" s="1" t="s">
        <v>48</v>
      </c>
      <c r="C35" s="27"/>
    </row>
    <row r="36" spans="1:3">
      <c r="B36" s="1" t="s">
        <v>50</v>
      </c>
      <c r="C36" s="18">
        <f>EXPENSE!B619</f>
        <v>1253506.2254729997</v>
      </c>
    </row>
    <row r="37" spans="1:3">
      <c r="B37" s="1" t="s">
        <v>52</v>
      </c>
      <c r="C37" s="27">
        <f>EXPENSE!B620</f>
        <v>1264850.1950450002</v>
      </c>
    </row>
    <row r="38" spans="1:3">
      <c r="B38" s="1" t="s">
        <v>54</v>
      </c>
      <c r="C38" s="27">
        <f>EXPENSE!B621</f>
        <v>84081.052324000004</v>
      </c>
    </row>
    <row r="39" spans="1:3">
      <c r="B39" s="1" t="s">
        <v>55</v>
      </c>
      <c r="C39" s="27">
        <f>EXPENSE!B622</f>
        <v>425</v>
      </c>
    </row>
    <row r="40" spans="1:3">
      <c r="B40" s="1" t="s">
        <v>57</v>
      </c>
      <c r="C40" s="27">
        <f>EXPENSE!B623</f>
        <v>225104</v>
      </c>
    </row>
    <row r="41" spans="1:3">
      <c r="B41" s="1" t="s">
        <v>59</v>
      </c>
      <c r="C41" s="27">
        <f>EXPENSE!B624</f>
        <v>177238.07</v>
      </c>
    </row>
    <row r="42" spans="1:3">
      <c r="B42" s="1" t="s">
        <v>61</v>
      </c>
      <c r="C42" s="27">
        <f>EXPENSE!B625</f>
        <v>136308</v>
      </c>
    </row>
    <row r="43" spans="1:3">
      <c r="B43" s="1" t="s">
        <v>63</v>
      </c>
      <c r="C43" s="27">
        <f>EXPENSE!B626</f>
        <v>327645.77470000001</v>
      </c>
    </row>
    <row r="44" spans="1:3">
      <c r="B44" s="1" t="s">
        <v>65</v>
      </c>
      <c r="C44" s="27">
        <f>EXPENSE!B627</f>
        <v>237667.55328000002</v>
      </c>
    </row>
    <row r="45" spans="1:3">
      <c r="B45" s="1" t="s">
        <v>888</v>
      </c>
      <c r="C45" s="27">
        <f>EXPENSE!B628</f>
        <v>62759.57</v>
      </c>
    </row>
    <row r="46" spans="1:3">
      <c r="B46" s="1" t="s">
        <v>67</v>
      </c>
      <c r="C46" s="27">
        <f>EXPENSE!B629</f>
        <v>1869458.2475999999</v>
      </c>
    </row>
    <row r="47" spans="1:3">
      <c r="B47" s="1" t="s">
        <v>886</v>
      </c>
      <c r="C47" s="27"/>
    </row>
    <row r="48" spans="1:3">
      <c r="B48" s="1" t="s">
        <v>68</v>
      </c>
      <c r="C48" s="27" t="str">
        <f>EXPENSE!B630</f>
        <v>`</v>
      </c>
    </row>
    <row r="49" spans="1:10">
      <c r="B49" s="1" t="s">
        <v>69</v>
      </c>
      <c r="C49" s="27">
        <f>EXPENSE!B631</f>
        <v>-26615.630000000005</v>
      </c>
    </row>
    <row r="50" spans="1:10">
      <c r="B50" s="1" t="s">
        <v>70</v>
      </c>
      <c r="C50" s="157">
        <f>SUM(C36:C49)</f>
        <v>5612428.0584219992</v>
      </c>
      <c r="E50" s="16"/>
      <c r="F50" s="16"/>
    </row>
    <row r="51" spans="1:10" ht="5.25" customHeight="1">
      <c r="C51" s="158"/>
    </row>
    <row r="52" spans="1:10" ht="13.5" thickBot="1">
      <c r="A52" s="9" t="s">
        <v>1350</v>
      </c>
      <c r="B52" s="9"/>
      <c r="C52" s="159">
        <f>C29-C50</f>
        <v>960920.44157800078</v>
      </c>
      <c r="E52" s="16"/>
    </row>
    <row r="53" spans="1:10" ht="13.5" thickTop="1"/>
    <row r="54" spans="1:10">
      <c r="A54" s="1" t="s">
        <v>71</v>
      </c>
    </row>
    <row r="55" spans="1:10">
      <c r="A55" s="1" t="s">
        <v>72</v>
      </c>
    </row>
    <row r="56" spans="1:10">
      <c r="A56" s="1" t="s">
        <v>73</v>
      </c>
    </row>
    <row r="57" spans="1:10">
      <c r="A57" s="1" t="s">
        <v>74</v>
      </c>
    </row>
    <row r="58" spans="1:10">
      <c r="A58" s="1" t="s">
        <v>75</v>
      </c>
    </row>
    <row r="60" spans="1:10">
      <c r="A60" s="2" t="s">
        <v>76</v>
      </c>
      <c r="B60" s="2"/>
      <c r="C60" s="2"/>
      <c r="D60" s="2"/>
      <c r="E60" s="2"/>
      <c r="F60" s="2"/>
    </row>
    <row r="61" spans="1:10">
      <c r="A61" s="2" t="s">
        <v>77</v>
      </c>
      <c r="B61" s="2"/>
      <c r="C61" s="2"/>
      <c r="D61" s="2"/>
      <c r="E61" s="2"/>
      <c r="F61" s="2"/>
    </row>
    <row r="62" spans="1:10">
      <c r="A62" s="2" t="s">
        <v>78</v>
      </c>
      <c r="B62" s="2"/>
      <c r="C62" s="2"/>
      <c r="D62" s="2"/>
      <c r="E62" s="2"/>
      <c r="F62" s="2"/>
    </row>
    <row r="64" spans="1:10" ht="20.25">
      <c r="A64" s="244" t="s">
        <v>1351</v>
      </c>
      <c r="B64" s="245"/>
      <c r="C64" s="245"/>
      <c r="D64" s="245"/>
      <c r="E64" s="246"/>
      <c r="F64" s="247"/>
      <c r="G64" s="247"/>
      <c r="H64" s="247"/>
      <c r="I64" s="247"/>
      <c r="J64" s="247"/>
    </row>
    <row r="65" spans="1:10" ht="20.25">
      <c r="A65" s="245" t="s">
        <v>911</v>
      </c>
      <c r="B65" s="248"/>
      <c r="C65" s="249" t="s">
        <v>1499</v>
      </c>
      <c r="D65" s="250"/>
      <c r="E65" s="251"/>
      <c r="F65" s="247"/>
      <c r="G65" s="247"/>
      <c r="H65" s="247"/>
      <c r="I65" s="247"/>
      <c r="J65" s="247"/>
    </row>
    <row r="66" spans="1:10" ht="20.25">
      <c r="A66" s="245" t="s">
        <v>912</v>
      </c>
      <c r="B66" s="248"/>
      <c r="C66" s="249" t="s">
        <v>1500</v>
      </c>
      <c r="D66" s="249"/>
      <c r="E66" s="251"/>
      <c r="F66" s="247"/>
      <c r="G66" s="247"/>
      <c r="H66" s="247"/>
      <c r="I66" s="247"/>
      <c r="J66" s="247"/>
    </row>
    <row r="67" spans="1:10" ht="20.25">
      <c r="A67" s="245"/>
      <c r="B67" s="252"/>
      <c r="C67" s="249"/>
      <c r="D67" s="249"/>
      <c r="E67" s="251"/>
      <c r="F67" s="247"/>
      <c r="G67" s="247"/>
      <c r="H67" s="247"/>
      <c r="I67" s="247"/>
      <c r="J67" s="247"/>
    </row>
    <row r="68" spans="1:10" ht="20.25">
      <c r="A68" s="245" t="s">
        <v>913</v>
      </c>
      <c r="B68" s="253"/>
      <c r="C68" s="247">
        <v>5</v>
      </c>
      <c r="D68" s="247"/>
      <c r="E68" s="251"/>
      <c r="F68" s="247"/>
      <c r="G68" s="247"/>
      <c r="H68" s="247"/>
      <c r="I68" s="247"/>
      <c r="J68" s="247"/>
    </row>
    <row r="69" spans="1:10" ht="20.25">
      <c r="A69" s="245"/>
      <c r="B69" s="253"/>
      <c r="C69" s="247"/>
      <c r="D69" s="247"/>
      <c r="E69" s="251"/>
      <c r="F69" s="247"/>
      <c r="G69" s="247"/>
      <c r="H69" s="247"/>
      <c r="I69" s="247"/>
      <c r="J69" s="247"/>
    </row>
    <row r="70" spans="1:10" ht="20.25">
      <c r="A70" s="245" t="s">
        <v>914</v>
      </c>
      <c r="B70" s="253"/>
      <c r="C70" s="247">
        <v>0</v>
      </c>
      <c r="D70" s="247"/>
      <c r="E70" s="251"/>
      <c r="F70" s="247"/>
      <c r="G70" s="247"/>
      <c r="H70" s="247"/>
      <c r="I70" s="247"/>
      <c r="J70" s="247"/>
    </row>
    <row r="71" spans="1:10" ht="20.25">
      <c r="A71" s="245"/>
      <c r="B71" s="253"/>
      <c r="C71" s="247"/>
      <c r="D71" s="247"/>
      <c r="E71" s="251"/>
      <c r="F71" s="247"/>
      <c r="G71" s="247"/>
      <c r="H71" s="247"/>
      <c r="I71" s="247"/>
      <c r="J71" s="247"/>
    </row>
    <row r="72" spans="1:10" ht="20.25">
      <c r="A72" s="245" t="s">
        <v>915</v>
      </c>
      <c r="B72" s="254"/>
      <c r="C72" s="259">
        <v>44677</v>
      </c>
      <c r="D72" s="247"/>
      <c r="E72" s="251"/>
      <c r="F72" s="247"/>
      <c r="G72" s="247"/>
      <c r="H72" s="247"/>
      <c r="I72" s="247"/>
      <c r="J72" s="247"/>
    </row>
    <row r="74" spans="1:10">
      <c r="A74" s="4"/>
      <c r="B74" s="4"/>
      <c r="C74" s="4"/>
    </row>
    <row r="75" spans="1:10">
      <c r="A75" s="255"/>
      <c r="B75" s="256"/>
      <c r="C75" s="4"/>
    </row>
    <row r="76" spans="1:10">
      <c r="A76" s="4"/>
      <c r="B76" s="4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topLeftCell="A13" zoomScaleNormal="100" workbookViewId="0">
      <selection activeCell="A30" sqref="A30"/>
    </sheetView>
  </sheetViews>
  <sheetFormatPr defaultRowHeight="15"/>
  <cols>
    <col min="1" max="1" width="2.5703125" customWidth="1"/>
    <col min="2" max="2" width="2.7109375" customWidth="1"/>
    <col min="9" max="9" width="9" customWidth="1"/>
    <col min="10" max="10" width="12.5703125" customWidth="1"/>
    <col min="12" max="12" width="9.140625" customWidth="1"/>
    <col min="257" max="257" width="2.5703125" customWidth="1"/>
    <col min="258" max="258" width="2.7109375" customWidth="1"/>
    <col min="265" max="265" width="9" customWidth="1"/>
    <col min="266" max="266" width="12.5703125" customWidth="1"/>
    <col min="268" max="268" width="9.140625" customWidth="1"/>
    <col min="513" max="513" width="2.5703125" customWidth="1"/>
    <col min="514" max="514" width="2.7109375" customWidth="1"/>
    <col min="521" max="521" width="9" customWidth="1"/>
    <col min="522" max="522" width="12.5703125" customWidth="1"/>
    <col min="524" max="524" width="9.140625" customWidth="1"/>
    <col min="769" max="769" width="2.5703125" customWidth="1"/>
    <col min="770" max="770" width="2.7109375" customWidth="1"/>
    <col min="777" max="777" width="9" customWidth="1"/>
    <col min="778" max="778" width="12.5703125" customWidth="1"/>
    <col min="780" max="780" width="9.140625" customWidth="1"/>
    <col min="1025" max="1025" width="2.5703125" customWidth="1"/>
    <col min="1026" max="1026" width="2.7109375" customWidth="1"/>
    <col min="1033" max="1033" width="9" customWidth="1"/>
    <col min="1034" max="1034" width="12.5703125" customWidth="1"/>
    <col min="1036" max="1036" width="9.140625" customWidth="1"/>
    <col min="1281" max="1281" width="2.5703125" customWidth="1"/>
    <col min="1282" max="1282" width="2.7109375" customWidth="1"/>
    <col min="1289" max="1289" width="9" customWidth="1"/>
    <col min="1290" max="1290" width="12.5703125" customWidth="1"/>
    <col min="1292" max="1292" width="9.140625" customWidth="1"/>
    <col min="1537" max="1537" width="2.5703125" customWidth="1"/>
    <col min="1538" max="1538" width="2.7109375" customWidth="1"/>
    <col min="1545" max="1545" width="9" customWidth="1"/>
    <col min="1546" max="1546" width="12.5703125" customWidth="1"/>
    <col min="1548" max="1548" width="9.140625" customWidth="1"/>
    <col min="1793" max="1793" width="2.5703125" customWidth="1"/>
    <col min="1794" max="1794" width="2.7109375" customWidth="1"/>
    <col min="1801" max="1801" width="9" customWidth="1"/>
    <col min="1802" max="1802" width="12.5703125" customWidth="1"/>
    <col min="1804" max="1804" width="9.140625" customWidth="1"/>
    <col min="2049" max="2049" width="2.5703125" customWidth="1"/>
    <col min="2050" max="2050" width="2.7109375" customWidth="1"/>
    <col min="2057" max="2057" width="9" customWidth="1"/>
    <col min="2058" max="2058" width="12.5703125" customWidth="1"/>
    <col min="2060" max="2060" width="9.140625" customWidth="1"/>
    <col min="2305" max="2305" width="2.5703125" customWidth="1"/>
    <col min="2306" max="2306" width="2.7109375" customWidth="1"/>
    <col min="2313" max="2313" width="9" customWidth="1"/>
    <col min="2314" max="2314" width="12.5703125" customWidth="1"/>
    <col min="2316" max="2316" width="9.140625" customWidth="1"/>
    <col min="2561" max="2561" width="2.5703125" customWidth="1"/>
    <col min="2562" max="2562" width="2.7109375" customWidth="1"/>
    <col min="2569" max="2569" width="9" customWidth="1"/>
    <col min="2570" max="2570" width="12.5703125" customWidth="1"/>
    <col min="2572" max="2572" width="9.140625" customWidth="1"/>
    <col min="2817" max="2817" width="2.5703125" customWidth="1"/>
    <col min="2818" max="2818" width="2.7109375" customWidth="1"/>
    <col min="2825" max="2825" width="9" customWidth="1"/>
    <col min="2826" max="2826" width="12.5703125" customWidth="1"/>
    <col min="2828" max="2828" width="9.140625" customWidth="1"/>
    <col min="3073" max="3073" width="2.5703125" customWidth="1"/>
    <col min="3074" max="3074" width="2.7109375" customWidth="1"/>
    <col min="3081" max="3081" width="9" customWidth="1"/>
    <col min="3082" max="3082" width="12.5703125" customWidth="1"/>
    <col min="3084" max="3084" width="9.140625" customWidth="1"/>
    <col min="3329" max="3329" width="2.5703125" customWidth="1"/>
    <col min="3330" max="3330" width="2.7109375" customWidth="1"/>
    <col min="3337" max="3337" width="9" customWidth="1"/>
    <col min="3338" max="3338" width="12.5703125" customWidth="1"/>
    <col min="3340" max="3340" width="9.140625" customWidth="1"/>
    <col min="3585" max="3585" width="2.5703125" customWidth="1"/>
    <col min="3586" max="3586" width="2.7109375" customWidth="1"/>
    <col min="3593" max="3593" width="9" customWidth="1"/>
    <col min="3594" max="3594" width="12.5703125" customWidth="1"/>
    <col min="3596" max="3596" width="9.140625" customWidth="1"/>
    <col min="3841" max="3841" width="2.5703125" customWidth="1"/>
    <col min="3842" max="3842" width="2.7109375" customWidth="1"/>
    <col min="3849" max="3849" width="9" customWidth="1"/>
    <col min="3850" max="3850" width="12.5703125" customWidth="1"/>
    <col min="3852" max="3852" width="9.140625" customWidth="1"/>
    <col min="4097" max="4097" width="2.5703125" customWidth="1"/>
    <col min="4098" max="4098" width="2.7109375" customWidth="1"/>
    <col min="4105" max="4105" width="9" customWidth="1"/>
    <col min="4106" max="4106" width="12.5703125" customWidth="1"/>
    <col min="4108" max="4108" width="9.140625" customWidth="1"/>
    <col min="4353" max="4353" width="2.5703125" customWidth="1"/>
    <col min="4354" max="4354" width="2.7109375" customWidth="1"/>
    <col min="4361" max="4361" width="9" customWidth="1"/>
    <col min="4362" max="4362" width="12.5703125" customWidth="1"/>
    <col min="4364" max="4364" width="9.140625" customWidth="1"/>
    <col min="4609" max="4609" width="2.5703125" customWidth="1"/>
    <col min="4610" max="4610" width="2.7109375" customWidth="1"/>
    <col min="4617" max="4617" width="9" customWidth="1"/>
    <col min="4618" max="4618" width="12.5703125" customWidth="1"/>
    <col min="4620" max="4620" width="9.140625" customWidth="1"/>
    <col min="4865" max="4865" width="2.5703125" customWidth="1"/>
    <col min="4866" max="4866" width="2.7109375" customWidth="1"/>
    <col min="4873" max="4873" width="9" customWidth="1"/>
    <col min="4874" max="4874" width="12.5703125" customWidth="1"/>
    <col min="4876" max="4876" width="9.140625" customWidth="1"/>
    <col min="5121" max="5121" width="2.5703125" customWidth="1"/>
    <col min="5122" max="5122" width="2.7109375" customWidth="1"/>
    <col min="5129" max="5129" width="9" customWidth="1"/>
    <col min="5130" max="5130" width="12.5703125" customWidth="1"/>
    <col min="5132" max="5132" width="9.140625" customWidth="1"/>
    <col min="5377" max="5377" width="2.5703125" customWidth="1"/>
    <col min="5378" max="5378" width="2.7109375" customWidth="1"/>
    <col min="5385" max="5385" width="9" customWidth="1"/>
    <col min="5386" max="5386" width="12.5703125" customWidth="1"/>
    <col min="5388" max="5388" width="9.140625" customWidth="1"/>
    <col min="5633" max="5633" width="2.5703125" customWidth="1"/>
    <col min="5634" max="5634" width="2.7109375" customWidth="1"/>
    <col min="5641" max="5641" width="9" customWidth="1"/>
    <col min="5642" max="5642" width="12.5703125" customWidth="1"/>
    <col min="5644" max="5644" width="9.140625" customWidth="1"/>
    <col min="5889" max="5889" width="2.5703125" customWidth="1"/>
    <col min="5890" max="5890" width="2.7109375" customWidth="1"/>
    <col min="5897" max="5897" width="9" customWidth="1"/>
    <col min="5898" max="5898" width="12.5703125" customWidth="1"/>
    <col min="5900" max="5900" width="9.140625" customWidth="1"/>
    <col min="6145" max="6145" width="2.5703125" customWidth="1"/>
    <col min="6146" max="6146" width="2.7109375" customWidth="1"/>
    <col min="6153" max="6153" width="9" customWidth="1"/>
    <col min="6154" max="6154" width="12.5703125" customWidth="1"/>
    <col min="6156" max="6156" width="9.140625" customWidth="1"/>
    <col min="6401" max="6401" width="2.5703125" customWidth="1"/>
    <col min="6402" max="6402" width="2.7109375" customWidth="1"/>
    <col min="6409" max="6409" width="9" customWidth="1"/>
    <col min="6410" max="6410" width="12.5703125" customWidth="1"/>
    <col min="6412" max="6412" width="9.140625" customWidth="1"/>
    <col min="6657" max="6657" width="2.5703125" customWidth="1"/>
    <col min="6658" max="6658" width="2.7109375" customWidth="1"/>
    <col min="6665" max="6665" width="9" customWidth="1"/>
    <col min="6666" max="6666" width="12.5703125" customWidth="1"/>
    <col min="6668" max="6668" width="9.140625" customWidth="1"/>
    <col min="6913" max="6913" width="2.5703125" customWidth="1"/>
    <col min="6914" max="6914" width="2.7109375" customWidth="1"/>
    <col min="6921" max="6921" width="9" customWidth="1"/>
    <col min="6922" max="6922" width="12.5703125" customWidth="1"/>
    <col min="6924" max="6924" width="9.140625" customWidth="1"/>
    <col min="7169" max="7169" width="2.5703125" customWidth="1"/>
    <col min="7170" max="7170" width="2.7109375" customWidth="1"/>
    <col min="7177" max="7177" width="9" customWidth="1"/>
    <col min="7178" max="7178" width="12.5703125" customWidth="1"/>
    <col min="7180" max="7180" width="9.140625" customWidth="1"/>
    <col min="7425" max="7425" width="2.5703125" customWidth="1"/>
    <col min="7426" max="7426" width="2.7109375" customWidth="1"/>
    <col min="7433" max="7433" width="9" customWidth="1"/>
    <col min="7434" max="7434" width="12.5703125" customWidth="1"/>
    <col min="7436" max="7436" width="9.140625" customWidth="1"/>
    <col min="7681" max="7681" width="2.5703125" customWidth="1"/>
    <col min="7682" max="7682" width="2.7109375" customWidth="1"/>
    <col min="7689" max="7689" width="9" customWidth="1"/>
    <col min="7690" max="7690" width="12.5703125" customWidth="1"/>
    <col min="7692" max="7692" width="9.140625" customWidth="1"/>
    <col min="7937" max="7937" width="2.5703125" customWidth="1"/>
    <col min="7938" max="7938" width="2.7109375" customWidth="1"/>
    <col min="7945" max="7945" width="9" customWidth="1"/>
    <col min="7946" max="7946" width="12.5703125" customWidth="1"/>
    <col min="7948" max="7948" width="9.140625" customWidth="1"/>
    <col min="8193" max="8193" width="2.5703125" customWidth="1"/>
    <col min="8194" max="8194" width="2.7109375" customWidth="1"/>
    <col min="8201" max="8201" width="9" customWidth="1"/>
    <col min="8202" max="8202" width="12.5703125" customWidth="1"/>
    <col min="8204" max="8204" width="9.140625" customWidth="1"/>
    <col min="8449" max="8449" width="2.5703125" customWidth="1"/>
    <col min="8450" max="8450" width="2.7109375" customWidth="1"/>
    <col min="8457" max="8457" width="9" customWidth="1"/>
    <col min="8458" max="8458" width="12.5703125" customWidth="1"/>
    <col min="8460" max="8460" width="9.140625" customWidth="1"/>
    <col min="8705" max="8705" width="2.5703125" customWidth="1"/>
    <col min="8706" max="8706" width="2.7109375" customWidth="1"/>
    <col min="8713" max="8713" width="9" customWidth="1"/>
    <col min="8714" max="8714" width="12.5703125" customWidth="1"/>
    <col min="8716" max="8716" width="9.140625" customWidth="1"/>
    <col min="8961" max="8961" width="2.5703125" customWidth="1"/>
    <col min="8962" max="8962" width="2.7109375" customWidth="1"/>
    <col min="8969" max="8969" width="9" customWidth="1"/>
    <col min="8970" max="8970" width="12.5703125" customWidth="1"/>
    <col min="8972" max="8972" width="9.140625" customWidth="1"/>
    <col min="9217" max="9217" width="2.5703125" customWidth="1"/>
    <col min="9218" max="9218" width="2.7109375" customWidth="1"/>
    <col min="9225" max="9225" width="9" customWidth="1"/>
    <col min="9226" max="9226" width="12.5703125" customWidth="1"/>
    <col min="9228" max="9228" width="9.140625" customWidth="1"/>
    <col min="9473" max="9473" width="2.5703125" customWidth="1"/>
    <col min="9474" max="9474" width="2.7109375" customWidth="1"/>
    <col min="9481" max="9481" width="9" customWidth="1"/>
    <col min="9482" max="9482" width="12.5703125" customWidth="1"/>
    <col min="9484" max="9484" width="9.140625" customWidth="1"/>
    <col min="9729" max="9729" width="2.5703125" customWidth="1"/>
    <col min="9730" max="9730" width="2.7109375" customWidth="1"/>
    <col min="9737" max="9737" width="9" customWidth="1"/>
    <col min="9738" max="9738" width="12.5703125" customWidth="1"/>
    <col min="9740" max="9740" width="9.140625" customWidth="1"/>
    <col min="9985" max="9985" width="2.5703125" customWidth="1"/>
    <col min="9986" max="9986" width="2.7109375" customWidth="1"/>
    <col min="9993" max="9993" width="9" customWidth="1"/>
    <col min="9994" max="9994" width="12.5703125" customWidth="1"/>
    <col min="9996" max="9996" width="9.140625" customWidth="1"/>
    <col min="10241" max="10241" width="2.5703125" customWidth="1"/>
    <col min="10242" max="10242" width="2.7109375" customWidth="1"/>
    <col min="10249" max="10249" width="9" customWidth="1"/>
    <col min="10250" max="10250" width="12.5703125" customWidth="1"/>
    <col min="10252" max="10252" width="9.140625" customWidth="1"/>
    <col min="10497" max="10497" width="2.5703125" customWidth="1"/>
    <col min="10498" max="10498" width="2.7109375" customWidth="1"/>
    <col min="10505" max="10505" width="9" customWidth="1"/>
    <col min="10506" max="10506" width="12.5703125" customWidth="1"/>
    <col min="10508" max="10508" width="9.140625" customWidth="1"/>
    <col min="10753" max="10753" width="2.5703125" customWidth="1"/>
    <col min="10754" max="10754" width="2.7109375" customWidth="1"/>
    <col min="10761" max="10761" width="9" customWidth="1"/>
    <col min="10762" max="10762" width="12.5703125" customWidth="1"/>
    <col min="10764" max="10764" width="9.140625" customWidth="1"/>
    <col min="11009" max="11009" width="2.5703125" customWidth="1"/>
    <col min="11010" max="11010" width="2.7109375" customWidth="1"/>
    <col min="11017" max="11017" width="9" customWidth="1"/>
    <col min="11018" max="11018" width="12.5703125" customWidth="1"/>
    <col min="11020" max="11020" width="9.140625" customWidth="1"/>
    <col min="11265" max="11265" width="2.5703125" customWidth="1"/>
    <col min="11266" max="11266" width="2.7109375" customWidth="1"/>
    <col min="11273" max="11273" width="9" customWidth="1"/>
    <col min="11274" max="11274" width="12.5703125" customWidth="1"/>
    <col min="11276" max="11276" width="9.140625" customWidth="1"/>
    <col min="11521" max="11521" width="2.5703125" customWidth="1"/>
    <col min="11522" max="11522" width="2.7109375" customWidth="1"/>
    <col min="11529" max="11529" width="9" customWidth="1"/>
    <col min="11530" max="11530" width="12.5703125" customWidth="1"/>
    <col min="11532" max="11532" width="9.140625" customWidth="1"/>
    <col min="11777" max="11777" width="2.5703125" customWidth="1"/>
    <col min="11778" max="11778" width="2.7109375" customWidth="1"/>
    <col min="11785" max="11785" width="9" customWidth="1"/>
    <col min="11786" max="11786" width="12.5703125" customWidth="1"/>
    <col min="11788" max="11788" width="9.140625" customWidth="1"/>
    <col min="12033" max="12033" width="2.5703125" customWidth="1"/>
    <col min="12034" max="12034" width="2.7109375" customWidth="1"/>
    <col min="12041" max="12041" width="9" customWidth="1"/>
    <col min="12042" max="12042" width="12.5703125" customWidth="1"/>
    <col min="12044" max="12044" width="9.140625" customWidth="1"/>
    <col min="12289" max="12289" width="2.5703125" customWidth="1"/>
    <col min="12290" max="12290" width="2.7109375" customWidth="1"/>
    <col min="12297" max="12297" width="9" customWidth="1"/>
    <col min="12298" max="12298" width="12.5703125" customWidth="1"/>
    <col min="12300" max="12300" width="9.140625" customWidth="1"/>
    <col min="12545" max="12545" width="2.5703125" customWidth="1"/>
    <col min="12546" max="12546" width="2.7109375" customWidth="1"/>
    <col min="12553" max="12553" width="9" customWidth="1"/>
    <col min="12554" max="12554" width="12.5703125" customWidth="1"/>
    <col min="12556" max="12556" width="9.140625" customWidth="1"/>
    <col min="12801" max="12801" width="2.5703125" customWidth="1"/>
    <col min="12802" max="12802" width="2.7109375" customWidth="1"/>
    <col min="12809" max="12809" width="9" customWidth="1"/>
    <col min="12810" max="12810" width="12.5703125" customWidth="1"/>
    <col min="12812" max="12812" width="9.140625" customWidth="1"/>
    <col min="13057" max="13057" width="2.5703125" customWidth="1"/>
    <col min="13058" max="13058" width="2.7109375" customWidth="1"/>
    <col min="13065" max="13065" width="9" customWidth="1"/>
    <col min="13066" max="13066" width="12.5703125" customWidth="1"/>
    <col min="13068" max="13068" width="9.140625" customWidth="1"/>
    <col min="13313" max="13313" width="2.5703125" customWidth="1"/>
    <col min="13314" max="13314" width="2.7109375" customWidth="1"/>
    <col min="13321" max="13321" width="9" customWidth="1"/>
    <col min="13322" max="13322" width="12.5703125" customWidth="1"/>
    <col min="13324" max="13324" width="9.140625" customWidth="1"/>
    <col min="13569" max="13569" width="2.5703125" customWidth="1"/>
    <col min="13570" max="13570" width="2.7109375" customWidth="1"/>
    <col min="13577" max="13577" width="9" customWidth="1"/>
    <col min="13578" max="13578" width="12.5703125" customWidth="1"/>
    <col min="13580" max="13580" width="9.140625" customWidth="1"/>
    <col min="13825" max="13825" width="2.5703125" customWidth="1"/>
    <col min="13826" max="13826" width="2.7109375" customWidth="1"/>
    <col min="13833" max="13833" width="9" customWidth="1"/>
    <col min="13834" max="13834" width="12.5703125" customWidth="1"/>
    <col min="13836" max="13836" width="9.140625" customWidth="1"/>
    <col min="14081" max="14081" width="2.5703125" customWidth="1"/>
    <col min="14082" max="14082" width="2.7109375" customWidth="1"/>
    <col min="14089" max="14089" width="9" customWidth="1"/>
    <col min="14090" max="14090" width="12.5703125" customWidth="1"/>
    <col min="14092" max="14092" width="9.140625" customWidth="1"/>
    <col min="14337" max="14337" width="2.5703125" customWidth="1"/>
    <col min="14338" max="14338" width="2.7109375" customWidth="1"/>
    <col min="14345" max="14345" width="9" customWidth="1"/>
    <col min="14346" max="14346" width="12.5703125" customWidth="1"/>
    <col min="14348" max="14348" width="9.140625" customWidth="1"/>
    <col min="14593" max="14593" width="2.5703125" customWidth="1"/>
    <col min="14594" max="14594" width="2.7109375" customWidth="1"/>
    <col min="14601" max="14601" width="9" customWidth="1"/>
    <col min="14602" max="14602" width="12.5703125" customWidth="1"/>
    <col min="14604" max="14604" width="9.140625" customWidth="1"/>
    <col min="14849" max="14849" width="2.5703125" customWidth="1"/>
    <col min="14850" max="14850" width="2.7109375" customWidth="1"/>
    <col min="14857" max="14857" width="9" customWidth="1"/>
    <col min="14858" max="14858" width="12.5703125" customWidth="1"/>
    <col min="14860" max="14860" width="9.140625" customWidth="1"/>
    <col min="15105" max="15105" width="2.5703125" customWidth="1"/>
    <col min="15106" max="15106" width="2.7109375" customWidth="1"/>
    <col min="15113" max="15113" width="9" customWidth="1"/>
    <col min="15114" max="15114" width="12.5703125" customWidth="1"/>
    <col min="15116" max="15116" width="9.140625" customWidth="1"/>
    <col min="15361" max="15361" width="2.5703125" customWidth="1"/>
    <col min="15362" max="15362" width="2.7109375" customWidth="1"/>
    <col min="15369" max="15369" width="9" customWidth="1"/>
    <col min="15370" max="15370" width="12.5703125" customWidth="1"/>
    <col min="15372" max="15372" width="9.140625" customWidth="1"/>
    <col min="15617" max="15617" width="2.5703125" customWidth="1"/>
    <col min="15618" max="15618" width="2.7109375" customWidth="1"/>
    <col min="15625" max="15625" width="9" customWidth="1"/>
    <col min="15626" max="15626" width="12.5703125" customWidth="1"/>
    <col min="15628" max="15628" width="9.140625" customWidth="1"/>
    <col min="15873" max="15873" width="2.5703125" customWidth="1"/>
    <col min="15874" max="15874" width="2.7109375" customWidth="1"/>
    <col min="15881" max="15881" width="9" customWidth="1"/>
    <col min="15882" max="15882" width="12.5703125" customWidth="1"/>
    <col min="15884" max="15884" width="9.140625" customWidth="1"/>
    <col min="16129" max="16129" width="2.5703125" customWidth="1"/>
    <col min="16130" max="16130" width="2.7109375" customWidth="1"/>
    <col min="16137" max="16137" width="9" customWidth="1"/>
    <col min="16138" max="16138" width="12.5703125" customWidth="1"/>
    <col min="16140" max="16140" width="9.140625" customWidth="1"/>
  </cols>
  <sheetData>
    <row r="1" spans="1:11">
      <c r="A1" s="531" t="s">
        <v>250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1">
      <c r="A2" s="531" t="s">
        <v>251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11">
      <c r="A3" s="531" t="s">
        <v>252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1">
      <c r="A4" s="531" t="s">
        <v>282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</row>
    <row r="5" spans="1:11">
      <c r="A5" s="532"/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7" spans="1:11">
      <c r="A7" t="s">
        <v>253</v>
      </c>
    </row>
    <row r="8" spans="1:11">
      <c r="A8" t="s">
        <v>254</v>
      </c>
    </row>
    <row r="9" spans="1:11">
      <c r="A9" t="s">
        <v>255</v>
      </c>
    </row>
    <row r="11" spans="1:11">
      <c r="A11" t="s">
        <v>256</v>
      </c>
    </row>
    <row r="12" spans="1:11">
      <c r="A12" s="28" t="s">
        <v>283</v>
      </c>
    </row>
    <row r="13" spans="1:11">
      <c r="A13" t="s">
        <v>257</v>
      </c>
    </row>
    <row r="14" spans="1:11">
      <c r="A14" s="531" t="s">
        <v>287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</row>
    <row r="16" spans="1:11">
      <c r="A16" s="146" t="s">
        <v>258</v>
      </c>
    </row>
    <row r="17" spans="1:10">
      <c r="B17" t="s">
        <v>259</v>
      </c>
      <c r="J17" s="147" t="e">
        <f>Summary!#REF!</f>
        <v>#REF!</v>
      </c>
    </row>
    <row r="18" spans="1:10">
      <c r="B18" t="s">
        <v>260</v>
      </c>
      <c r="J18" s="77" t="e">
        <f>Summary!#REF!</f>
        <v>#REF!</v>
      </c>
    </row>
    <row r="19" spans="1:10">
      <c r="B19" t="s">
        <v>261</v>
      </c>
      <c r="J19" s="77" t="e">
        <f>Summary!#REF!</f>
        <v>#REF!</v>
      </c>
    </row>
    <row r="20" spans="1:10">
      <c r="B20" t="s">
        <v>262</v>
      </c>
      <c r="J20" s="77">
        <v>0</v>
      </c>
    </row>
    <row r="21" spans="1:10">
      <c r="B21" t="s">
        <v>263</v>
      </c>
      <c r="J21" s="77" t="e">
        <f>Summary!#REF!</f>
        <v>#REF!</v>
      </c>
    </row>
    <row r="22" spans="1:10">
      <c r="J22" s="148"/>
    </row>
    <row r="23" spans="1:10">
      <c r="A23" t="s">
        <v>264</v>
      </c>
      <c r="J23" s="147" t="e">
        <f>SUM(J17:J22)</f>
        <v>#REF!</v>
      </c>
    </row>
    <row r="24" spans="1:10">
      <c r="J24" s="77"/>
    </row>
    <row r="25" spans="1:10">
      <c r="A25" t="s">
        <v>265</v>
      </c>
      <c r="J25" s="147" t="e">
        <f>Summary!#REF!</f>
        <v>#REF!</v>
      </c>
    </row>
    <row r="26" spans="1:10">
      <c r="J26" s="77"/>
    </row>
    <row r="27" spans="1:10" ht="15.75" thickBot="1">
      <c r="A27" t="s">
        <v>266</v>
      </c>
      <c r="J27" s="149" t="e">
        <f>SUM(J23:J26)</f>
        <v>#REF!</v>
      </c>
    </row>
    <row r="28" spans="1:10" ht="15.75" thickTop="1"/>
    <row r="29" spans="1:10">
      <c r="A29" s="28" t="s">
        <v>291</v>
      </c>
    </row>
    <row r="30" spans="1:10">
      <c r="A30" s="28" t="s">
        <v>267</v>
      </c>
    </row>
    <row r="31" spans="1:10">
      <c r="A31" s="28"/>
    </row>
    <row r="32" spans="1:10">
      <c r="A32" s="146" t="s">
        <v>47</v>
      </c>
    </row>
    <row r="33" spans="2:11">
      <c r="B33" t="s">
        <v>268</v>
      </c>
      <c r="J33" s="147">
        <f>EXPENSE!B619</f>
        <v>1253506.2254729997</v>
      </c>
    </row>
    <row r="34" spans="2:11">
      <c r="B34" t="s">
        <v>269</v>
      </c>
      <c r="J34" s="77">
        <f>EXPENSE!B620</f>
        <v>1264850.1950450002</v>
      </c>
    </row>
    <row r="35" spans="2:11">
      <c r="B35" t="s">
        <v>270</v>
      </c>
      <c r="J35" s="77">
        <f>EXPENSE!B621</f>
        <v>84081.052324000004</v>
      </c>
      <c r="K35" s="151"/>
    </row>
    <row r="36" spans="2:11">
      <c r="B36" t="s">
        <v>271</v>
      </c>
      <c r="J36" s="77" t="e">
        <f>EXPENSE!#REF!</f>
        <v>#REF!</v>
      </c>
      <c r="K36" s="151"/>
    </row>
    <row r="37" spans="2:11">
      <c r="B37" t="s">
        <v>57</v>
      </c>
      <c r="J37" s="77">
        <f>EXPENSE!B623</f>
        <v>225104</v>
      </c>
      <c r="K37" s="151"/>
    </row>
    <row r="38" spans="2:11">
      <c r="B38" t="s">
        <v>59</v>
      </c>
      <c r="J38" s="77">
        <f>EXPENSE!B624</f>
        <v>177238.07</v>
      </c>
      <c r="K38" s="151"/>
    </row>
    <row r="39" spans="2:11">
      <c r="B39" t="s">
        <v>272</v>
      </c>
      <c r="J39" s="77">
        <f>EXPENSE!B625</f>
        <v>136308</v>
      </c>
      <c r="K39" s="151"/>
    </row>
    <row r="40" spans="2:11">
      <c r="B40" t="s">
        <v>63</v>
      </c>
      <c r="J40" s="77">
        <f>EXPENSE!B626</f>
        <v>327645.77470000001</v>
      </c>
      <c r="K40" s="151"/>
    </row>
    <row r="41" spans="2:11">
      <c r="B41" t="s">
        <v>273</v>
      </c>
      <c r="J41" s="77">
        <f>EXPENSE!B627</f>
        <v>237667.55328000002</v>
      </c>
      <c r="K41" s="151"/>
    </row>
    <row r="42" spans="2:11">
      <c r="B42" t="s">
        <v>274</v>
      </c>
      <c r="J42" s="77" t="e">
        <f>EXPENSE!#REF!</f>
        <v>#REF!</v>
      </c>
      <c r="K42" s="151"/>
    </row>
    <row r="43" spans="2:11">
      <c r="B43" t="s">
        <v>275</v>
      </c>
      <c r="J43" s="77">
        <f>EXPENSE!B629</f>
        <v>1869458.2475999999</v>
      </c>
    </row>
    <row r="44" spans="2:11">
      <c r="B44" t="s">
        <v>276</v>
      </c>
      <c r="J44" s="77">
        <v>0</v>
      </c>
    </row>
    <row r="45" spans="2:11">
      <c r="J45" s="148"/>
    </row>
    <row r="46" spans="2:11">
      <c r="B46" t="s">
        <v>277</v>
      </c>
      <c r="J46" s="147" t="e">
        <f>SUM(J33:J45)</f>
        <v>#REF!</v>
      </c>
    </row>
    <row r="47" spans="2:11">
      <c r="J47" s="77"/>
    </row>
    <row r="48" spans="2:11">
      <c r="B48" t="s">
        <v>278</v>
      </c>
      <c r="J48" s="77">
        <v>0</v>
      </c>
    </row>
    <row r="49" spans="1:10">
      <c r="B49" t="s">
        <v>279</v>
      </c>
      <c r="J49" s="77">
        <v>0</v>
      </c>
    </row>
    <row r="50" spans="1:10">
      <c r="B50" t="s">
        <v>263</v>
      </c>
      <c r="J50" s="77">
        <v>0</v>
      </c>
    </row>
    <row r="51" spans="1:10">
      <c r="J51" s="77"/>
    </row>
    <row r="52" spans="1:10">
      <c r="A52" t="s">
        <v>280</v>
      </c>
      <c r="J52" s="150" t="e">
        <f>SUM(J46:J51)</f>
        <v>#REF!</v>
      </c>
    </row>
    <row r="53" spans="1:10">
      <c r="J53" s="77"/>
    </row>
    <row r="54" spans="1:10" ht="15.75" thickBot="1">
      <c r="A54" t="s">
        <v>281</v>
      </c>
      <c r="J54" s="70" t="e">
        <f>J27-J52</f>
        <v>#REF!</v>
      </c>
    </row>
    <row r="55" spans="1:10" ht="15.75" thickTop="1"/>
    <row r="57" spans="1:10">
      <c r="A57" s="152"/>
      <c r="B57" s="152"/>
      <c r="C57" s="152"/>
      <c r="D57" s="152"/>
      <c r="E57" s="152"/>
    </row>
    <row r="58" spans="1:10">
      <c r="A58" t="s">
        <v>288</v>
      </c>
    </row>
  </sheetData>
  <mergeCells count="6">
    <mergeCell ref="A14:K14"/>
    <mergeCell ref="A1:K1"/>
    <mergeCell ref="A2:K2"/>
    <mergeCell ref="A3:K3"/>
    <mergeCell ref="A4:K4"/>
    <mergeCell ref="A5:K5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3"/>
  <sheetViews>
    <sheetView tabSelected="1" zoomScaleNormal="100" zoomScaleSheetLayoutView="100" workbookViewId="0">
      <pane xSplit="3" ySplit="8" topLeftCell="D27" activePane="bottomRight" state="frozen"/>
      <selection activeCell="A32" sqref="A32"/>
      <selection pane="topRight" activeCell="A32" sqref="A32"/>
      <selection pane="bottomLeft" activeCell="A32" sqref="A32"/>
      <selection pane="bottomRight" activeCell="M9" sqref="M9"/>
    </sheetView>
  </sheetViews>
  <sheetFormatPr defaultRowHeight="12.75"/>
  <cols>
    <col min="1" max="1" width="3.85546875" style="22" customWidth="1"/>
    <col min="2" max="2" width="39.85546875" style="22" customWidth="1"/>
    <col min="3" max="3" width="1.28515625" style="22" customWidth="1"/>
    <col min="4" max="4" width="12.42578125" style="22" hidden="1" customWidth="1"/>
    <col min="5" max="5" width="11.5703125" style="154" customWidth="1"/>
    <col min="6" max="6" width="12.42578125" style="243" bestFit="1" customWidth="1"/>
    <col min="7" max="7" width="11.5703125" style="154" customWidth="1"/>
    <col min="8" max="8" width="1.42578125" style="154" customWidth="1"/>
    <col min="9" max="9" width="1.5703125" style="154" customWidth="1"/>
    <col min="10" max="10" width="11.5703125" style="154" customWidth="1"/>
    <col min="11" max="11" width="1.5703125" style="154" customWidth="1"/>
    <col min="12" max="12" width="11.5703125" style="154" customWidth="1"/>
    <col min="13" max="13" width="12.42578125" style="22" customWidth="1"/>
    <col min="14" max="14" width="0.85546875" style="22" customWidth="1"/>
    <col min="15" max="15" width="9.140625" style="22"/>
    <col min="16" max="16" width="12.5703125" style="396" bestFit="1" customWidth="1"/>
    <col min="17" max="17" width="9.140625" style="22"/>
    <col min="18" max="18" width="11" style="22" bestFit="1" customWidth="1"/>
    <col min="19" max="254" width="9.140625" style="22"/>
    <col min="255" max="255" width="3.85546875" style="22" customWidth="1"/>
    <col min="256" max="256" width="39.85546875" style="22" customWidth="1"/>
    <col min="257" max="257" width="1.28515625" style="22" customWidth="1"/>
    <col min="258" max="258" width="12" style="22" customWidth="1"/>
    <col min="259" max="259" width="1.5703125" style="22" customWidth="1"/>
    <col min="260" max="260" width="12" style="22" customWidth="1"/>
    <col min="261" max="261" width="1.28515625" style="22" customWidth="1"/>
    <col min="262" max="262" width="13" style="22" customWidth="1"/>
    <col min="263" max="263" width="1.85546875" style="22" customWidth="1"/>
    <col min="264" max="264" width="11.28515625" style="22" customWidth="1"/>
    <col min="265" max="265" width="0.85546875" style="22" customWidth="1"/>
    <col min="266" max="266" width="11.5703125" style="22" customWidth="1"/>
    <col min="267" max="510" width="9.140625" style="22"/>
    <col min="511" max="511" width="3.85546875" style="22" customWidth="1"/>
    <col min="512" max="512" width="39.85546875" style="22" customWidth="1"/>
    <col min="513" max="513" width="1.28515625" style="22" customWidth="1"/>
    <col min="514" max="514" width="12" style="22" customWidth="1"/>
    <col min="515" max="515" width="1.5703125" style="22" customWidth="1"/>
    <col min="516" max="516" width="12" style="22" customWidth="1"/>
    <col min="517" max="517" width="1.28515625" style="22" customWidth="1"/>
    <col min="518" max="518" width="13" style="22" customWidth="1"/>
    <col min="519" max="519" width="1.85546875" style="22" customWidth="1"/>
    <col min="520" max="520" width="11.28515625" style="22" customWidth="1"/>
    <col min="521" max="521" width="0.85546875" style="22" customWidth="1"/>
    <col min="522" max="522" width="11.5703125" style="22" customWidth="1"/>
    <col min="523" max="766" width="9.140625" style="22"/>
    <col min="767" max="767" width="3.85546875" style="22" customWidth="1"/>
    <col min="768" max="768" width="39.85546875" style="22" customWidth="1"/>
    <col min="769" max="769" width="1.28515625" style="22" customWidth="1"/>
    <col min="770" max="770" width="12" style="22" customWidth="1"/>
    <col min="771" max="771" width="1.5703125" style="22" customWidth="1"/>
    <col min="772" max="772" width="12" style="22" customWidth="1"/>
    <col min="773" max="773" width="1.28515625" style="22" customWidth="1"/>
    <col min="774" max="774" width="13" style="22" customWidth="1"/>
    <col min="775" max="775" width="1.85546875" style="22" customWidth="1"/>
    <col min="776" max="776" width="11.28515625" style="22" customWidth="1"/>
    <col min="777" max="777" width="0.85546875" style="22" customWidth="1"/>
    <col min="778" max="778" width="11.5703125" style="22" customWidth="1"/>
    <col min="779" max="1022" width="9.140625" style="22"/>
    <col min="1023" max="1023" width="3.85546875" style="22" customWidth="1"/>
    <col min="1024" max="1024" width="39.85546875" style="22" customWidth="1"/>
    <col min="1025" max="1025" width="1.28515625" style="22" customWidth="1"/>
    <col min="1026" max="1026" width="12" style="22" customWidth="1"/>
    <col min="1027" max="1027" width="1.5703125" style="22" customWidth="1"/>
    <col min="1028" max="1028" width="12" style="22" customWidth="1"/>
    <col min="1029" max="1029" width="1.28515625" style="22" customWidth="1"/>
    <col min="1030" max="1030" width="13" style="22" customWidth="1"/>
    <col min="1031" max="1031" width="1.85546875" style="22" customWidth="1"/>
    <col min="1032" max="1032" width="11.28515625" style="22" customWidth="1"/>
    <col min="1033" max="1033" width="0.85546875" style="22" customWidth="1"/>
    <col min="1034" max="1034" width="11.5703125" style="22" customWidth="1"/>
    <col min="1035" max="1278" width="9.140625" style="22"/>
    <col min="1279" max="1279" width="3.85546875" style="22" customWidth="1"/>
    <col min="1280" max="1280" width="39.85546875" style="22" customWidth="1"/>
    <col min="1281" max="1281" width="1.28515625" style="22" customWidth="1"/>
    <col min="1282" max="1282" width="12" style="22" customWidth="1"/>
    <col min="1283" max="1283" width="1.5703125" style="22" customWidth="1"/>
    <col min="1284" max="1284" width="12" style="22" customWidth="1"/>
    <col min="1285" max="1285" width="1.28515625" style="22" customWidth="1"/>
    <col min="1286" max="1286" width="13" style="22" customWidth="1"/>
    <col min="1287" max="1287" width="1.85546875" style="22" customWidth="1"/>
    <col min="1288" max="1288" width="11.28515625" style="22" customWidth="1"/>
    <col min="1289" max="1289" width="0.85546875" style="22" customWidth="1"/>
    <col min="1290" max="1290" width="11.5703125" style="22" customWidth="1"/>
    <col min="1291" max="1534" width="9.140625" style="22"/>
    <col min="1535" max="1535" width="3.85546875" style="22" customWidth="1"/>
    <col min="1536" max="1536" width="39.85546875" style="22" customWidth="1"/>
    <col min="1537" max="1537" width="1.28515625" style="22" customWidth="1"/>
    <col min="1538" max="1538" width="12" style="22" customWidth="1"/>
    <col min="1539" max="1539" width="1.5703125" style="22" customWidth="1"/>
    <col min="1540" max="1540" width="12" style="22" customWidth="1"/>
    <col min="1541" max="1541" width="1.28515625" style="22" customWidth="1"/>
    <col min="1542" max="1542" width="13" style="22" customWidth="1"/>
    <col min="1543" max="1543" width="1.85546875" style="22" customWidth="1"/>
    <col min="1544" max="1544" width="11.28515625" style="22" customWidth="1"/>
    <col min="1545" max="1545" width="0.85546875" style="22" customWidth="1"/>
    <col min="1546" max="1546" width="11.5703125" style="22" customWidth="1"/>
    <col min="1547" max="1790" width="9.140625" style="22"/>
    <col min="1791" max="1791" width="3.85546875" style="22" customWidth="1"/>
    <col min="1792" max="1792" width="39.85546875" style="22" customWidth="1"/>
    <col min="1793" max="1793" width="1.28515625" style="22" customWidth="1"/>
    <col min="1794" max="1794" width="12" style="22" customWidth="1"/>
    <col min="1795" max="1795" width="1.5703125" style="22" customWidth="1"/>
    <col min="1796" max="1796" width="12" style="22" customWidth="1"/>
    <col min="1797" max="1797" width="1.28515625" style="22" customWidth="1"/>
    <col min="1798" max="1798" width="13" style="22" customWidth="1"/>
    <col min="1799" max="1799" width="1.85546875" style="22" customWidth="1"/>
    <col min="1800" max="1800" width="11.28515625" style="22" customWidth="1"/>
    <col min="1801" max="1801" width="0.85546875" style="22" customWidth="1"/>
    <col min="1802" max="1802" width="11.5703125" style="22" customWidth="1"/>
    <col min="1803" max="2046" width="9.140625" style="22"/>
    <col min="2047" max="2047" width="3.85546875" style="22" customWidth="1"/>
    <col min="2048" max="2048" width="39.85546875" style="22" customWidth="1"/>
    <col min="2049" max="2049" width="1.28515625" style="22" customWidth="1"/>
    <col min="2050" max="2050" width="12" style="22" customWidth="1"/>
    <col min="2051" max="2051" width="1.5703125" style="22" customWidth="1"/>
    <col min="2052" max="2052" width="12" style="22" customWidth="1"/>
    <col min="2053" max="2053" width="1.28515625" style="22" customWidth="1"/>
    <col min="2054" max="2054" width="13" style="22" customWidth="1"/>
    <col min="2055" max="2055" width="1.85546875" style="22" customWidth="1"/>
    <col min="2056" max="2056" width="11.28515625" style="22" customWidth="1"/>
    <col min="2057" max="2057" width="0.85546875" style="22" customWidth="1"/>
    <col min="2058" max="2058" width="11.5703125" style="22" customWidth="1"/>
    <col min="2059" max="2302" width="9.140625" style="22"/>
    <col min="2303" max="2303" width="3.85546875" style="22" customWidth="1"/>
    <col min="2304" max="2304" width="39.85546875" style="22" customWidth="1"/>
    <col min="2305" max="2305" width="1.28515625" style="22" customWidth="1"/>
    <col min="2306" max="2306" width="12" style="22" customWidth="1"/>
    <col min="2307" max="2307" width="1.5703125" style="22" customWidth="1"/>
    <col min="2308" max="2308" width="12" style="22" customWidth="1"/>
    <col min="2309" max="2309" width="1.28515625" style="22" customWidth="1"/>
    <col min="2310" max="2310" width="13" style="22" customWidth="1"/>
    <col min="2311" max="2311" width="1.85546875" style="22" customWidth="1"/>
    <col min="2312" max="2312" width="11.28515625" style="22" customWidth="1"/>
    <col min="2313" max="2313" width="0.85546875" style="22" customWidth="1"/>
    <col min="2314" max="2314" width="11.5703125" style="22" customWidth="1"/>
    <col min="2315" max="2558" width="9.140625" style="22"/>
    <col min="2559" max="2559" width="3.85546875" style="22" customWidth="1"/>
    <col min="2560" max="2560" width="39.85546875" style="22" customWidth="1"/>
    <col min="2561" max="2561" width="1.28515625" style="22" customWidth="1"/>
    <col min="2562" max="2562" width="12" style="22" customWidth="1"/>
    <col min="2563" max="2563" width="1.5703125" style="22" customWidth="1"/>
    <col min="2564" max="2564" width="12" style="22" customWidth="1"/>
    <col min="2565" max="2565" width="1.28515625" style="22" customWidth="1"/>
    <col min="2566" max="2566" width="13" style="22" customWidth="1"/>
    <col min="2567" max="2567" width="1.85546875" style="22" customWidth="1"/>
    <col min="2568" max="2568" width="11.28515625" style="22" customWidth="1"/>
    <col min="2569" max="2569" width="0.85546875" style="22" customWidth="1"/>
    <col min="2570" max="2570" width="11.5703125" style="22" customWidth="1"/>
    <col min="2571" max="2814" width="9.140625" style="22"/>
    <col min="2815" max="2815" width="3.85546875" style="22" customWidth="1"/>
    <col min="2816" max="2816" width="39.85546875" style="22" customWidth="1"/>
    <col min="2817" max="2817" width="1.28515625" style="22" customWidth="1"/>
    <col min="2818" max="2818" width="12" style="22" customWidth="1"/>
    <col min="2819" max="2819" width="1.5703125" style="22" customWidth="1"/>
    <col min="2820" max="2820" width="12" style="22" customWidth="1"/>
    <col min="2821" max="2821" width="1.28515625" style="22" customWidth="1"/>
    <col min="2822" max="2822" width="13" style="22" customWidth="1"/>
    <col min="2823" max="2823" width="1.85546875" style="22" customWidth="1"/>
    <col min="2824" max="2824" width="11.28515625" style="22" customWidth="1"/>
    <col min="2825" max="2825" width="0.85546875" style="22" customWidth="1"/>
    <col min="2826" max="2826" width="11.5703125" style="22" customWidth="1"/>
    <col min="2827" max="3070" width="9.140625" style="22"/>
    <col min="3071" max="3071" width="3.85546875" style="22" customWidth="1"/>
    <col min="3072" max="3072" width="39.85546875" style="22" customWidth="1"/>
    <col min="3073" max="3073" width="1.28515625" style="22" customWidth="1"/>
    <col min="3074" max="3074" width="12" style="22" customWidth="1"/>
    <col min="3075" max="3075" width="1.5703125" style="22" customWidth="1"/>
    <col min="3076" max="3076" width="12" style="22" customWidth="1"/>
    <col min="3077" max="3077" width="1.28515625" style="22" customWidth="1"/>
    <col min="3078" max="3078" width="13" style="22" customWidth="1"/>
    <col min="3079" max="3079" width="1.85546875" style="22" customWidth="1"/>
    <col min="3080" max="3080" width="11.28515625" style="22" customWidth="1"/>
    <col min="3081" max="3081" width="0.85546875" style="22" customWidth="1"/>
    <col min="3082" max="3082" width="11.5703125" style="22" customWidth="1"/>
    <col min="3083" max="3326" width="9.140625" style="22"/>
    <col min="3327" max="3327" width="3.85546875" style="22" customWidth="1"/>
    <col min="3328" max="3328" width="39.85546875" style="22" customWidth="1"/>
    <col min="3329" max="3329" width="1.28515625" style="22" customWidth="1"/>
    <col min="3330" max="3330" width="12" style="22" customWidth="1"/>
    <col min="3331" max="3331" width="1.5703125" style="22" customWidth="1"/>
    <col min="3332" max="3332" width="12" style="22" customWidth="1"/>
    <col min="3333" max="3333" width="1.28515625" style="22" customWidth="1"/>
    <col min="3334" max="3334" width="13" style="22" customWidth="1"/>
    <col min="3335" max="3335" width="1.85546875" style="22" customWidth="1"/>
    <col min="3336" max="3336" width="11.28515625" style="22" customWidth="1"/>
    <col min="3337" max="3337" width="0.85546875" style="22" customWidth="1"/>
    <col min="3338" max="3338" width="11.5703125" style="22" customWidth="1"/>
    <col min="3339" max="3582" width="9.140625" style="22"/>
    <col min="3583" max="3583" width="3.85546875" style="22" customWidth="1"/>
    <col min="3584" max="3584" width="39.85546875" style="22" customWidth="1"/>
    <col min="3585" max="3585" width="1.28515625" style="22" customWidth="1"/>
    <col min="3586" max="3586" width="12" style="22" customWidth="1"/>
    <col min="3587" max="3587" width="1.5703125" style="22" customWidth="1"/>
    <col min="3588" max="3588" width="12" style="22" customWidth="1"/>
    <col min="3589" max="3589" width="1.28515625" style="22" customWidth="1"/>
    <col min="3590" max="3590" width="13" style="22" customWidth="1"/>
    <col min="3591" max="3591" width="1.85546875" style="22" customWidth="1"/>
    <col min="3592" max="3592" width="11.28515625" style="22" customWidth="1"/>
    <col min="3593" max="3593" width="0.85546875" style="22" customWidth="1"/>
    <col min="3594" max="3594" width="11.5703125" style="22" customWidth="1"/>
    <col min="3595" max="3838" width="9.140625" style="22"/>
    <col min="3839" max="3839" width="3.85546875" style="22" customWidth="1"/>
    <col min="3840" max="3840" width="39.85546875" style="22" customWidth="1"/>
    <col min="3841" max="3841" width="1.28515625" style="22" customWidth="1"/>
    <col min="3842" max="3842" width="12" style="22" customWidth="1"/>
    <col min="3843" max="3843" width="1.5703125" style="22" customWidth="1"/>
    <col min="3844" max="3844" width="12" style="22" customWidth="1"/>
    <col min="3845" max="3845" width="1.28515625" style="22" customWidth="1"/>
    <col min="3846" max="3846" width="13" style="22" customWidth="1"/>
    <col min="3847" max="3847" width="1.85546875" style="22" customWidth="1"/>
    <col min="3848" max="3848" width="11.28515625" style="22" customWidth="1"/>
    <col min="3849" max="3849" width="0.85546875" style="22" customWidth="1"/>
    <col min="3850" max="3850" width="11.5703125" style="22" customWidth="1"/>
    <col min="3851" max="4094" width="9.140625" style="22"/>
    <col min="4095" max="4095" width="3.85546875" style="22" customWidth="1"/>
    <col min="4096" max="4096" width="39.85546875" style="22" customWidth="1"/>
    <col min="4097" max="4097" width="1.28515625" style="22" customWidth="1"/>
    <col min="4098" max="4098" width="12" style="22" customWidth="1"/>
    <col min="4099" max="4099" width="1.5703125" style="22" customWidth="1"/>
    <col min="4100" max="4100" width="12" style="22" customWidth="1"/>
    <col min="4101" max="4101" width="1.28515625" style="22" customWidth="1"/>
    <col min="4102" max="4102" width="13" style="22" customWidth="1"/>
    <col min="4103" max="4103" width="1.85546875" style="22" customWidth="1"/>
    <col min="4104" max="4104" width="11.28515625" style="22" customWidth="1"/>
    <col min="4105" max="4105" width="0.85546875" style="22" customWidth="1"/>
    <col min="4106" max="4106" width="11.5703125" style="22" customWidth="1"/>
    <col min="4107" max="4350" width="9.140625" style="22"/>
    <col min="4351" max="4351" width="3.85546875" style="22" customWidth="1"/>
    <col min="4352" max="4352" width="39.85546875" style="22" customWidth="1"/>
    <col min="4353" max="4353" width="1.28515625" style="22" customWidth="1"/>
    <col min="4354" max="4354" width="12" style="22" customWidth="1"/>
    <col min="4355" max="4355" width="1.5703125" style="22" customWidth="1"/>
    <col min="4356" max="4356" width="12" style="22" customWidth="1"/>
    <col min="4357" max="4357" width="1.28515625" style="22" customWidth="1"/>
    <col min="4358" max="4358" width="13" style="22" customWidth="1"/>
    <col min="4359" max="4359" width="1.85546875" style="22" customWidth="1"/>
    <col min="4360" max="4360" width="11.28515625" style="22" customWidth="1"/>
    <col min="4361" max="4361" width="0.85546875" style="22" customWidth="1"/>
    <col min="4362" max="4362" width="11.5703125" style="22" customWidth="1"/>
    <col min="4363" max="4606" width="9.140625" style="22"/>
    <col min="4607" max="4607" width="3.85546875" style="22" customWidth="1"/>
    <col min="4608" max="4608" width="39.85546875" style="22" customWidth="1"/>
    <col min="4609" max="4609" width="1.28515625" style="22" customWidth="1"/>
    <col min="4610" max="4610" width="12" style="22" customWidth="1"/>
    <col min="4611" max="4611" width="1.5703125" style="22" customWidth="1"/>
    <col min="4612" max="4612" width="12" style="22" customWidth="1"/>
    <col min="4613" max="4613" width="1.28515625" style="22" customWidth="1"/>
    <col min="4614" max="4614" width="13" style="22" customWidth="1"/>
    <col min="4615" max="4615" width="1.85546875" style="22" customWidth="1"/>
    <col min="4616" max="4616" width="11.28515625" style="22" customWidth="1"/>
    <col min="4617" max="4617" width="0.85546875" style="22" customWidth="1"/>
    <col min="4618" max="4618" width="11.5703125" style="22" customWidth="1"/>
    <col min="4619" max="4862" width="9.140625" style="22"/>
    <col min="4863" max="4863" width="3.85546875" style="22" customWidth="1"/>
    <col min="4864" max="4864" width="39.85546875" style="22" customWidth="1"/>
    <col min="4865" max="4865" width="1.28515625" style="22" customWidth="1"/>
    <col min="4866" max="4866" width="12" style="22" customWidth="1"/>
    <col min="4867" max="4867" width="1.5703125" style="22" customWidth="1"/>
    <col min="4868" max="4868" width="12" style="22" customWidth="1"/>
    <col min="4869" max="4869" width="1.28515625" style="22" customWidth="1"/>
    <col min="4870" max="4870" width="13" style="22" customWidth="1"/>
    <col min="4871" max="4871" width="1.85546875" style="22" customWidth="1"/>
    <col min="4872" max="4872" width="11.28515625" style="22" customWidth="1"/>
    <col min="4873" max="4873" width="0.85546875" style="22" customWidth="1"/>
    <col min="4874" max="4874" width="11.5703125" style="22" customWidth="1"/>
    <col min="4875" max="5118" width="9.140625" style="22"/>
    <col min="5119" max="5119" width="3.85546875" style="22" customWidth="1"/>
    <col min="5120" max="5120" width="39.85546875" style="22" customWidth="1"/>
    <col min="5121" max="5121" width="1.28515625" style="22" customWidth="1"/>
    <col min="5122" max="5122" width="12" style="22" customWidth="1"/>
    <col min="5123" max="5123" width="1.5703125" style="22" customWidth="1"/>
    <col min="5124" max="5124" width="12" style="22" customWidth="1"/>
    <col min="5125" max="5125" width="1.28515625" style="22" customWidth="1"/>
    <col min="5126" max="5126" width="13" style="22" customWidth="1"/>
    <col min="5127" max="5127" width="1.85546875" style="22" customWidth="1"/>
    <col min="5128" max="5128" width="11.28515625" style="22" customWidth="1"/>
    <col min="5129" max="5129" width="0.85546875" style="22" customWidth="1"/>
    <col min="5130" max="5130" width="11.5703125" style="22" customWidth="1"/>
    <col min="5131" max="5374" width="9.140625" style="22"/>
    <col min="5375" max="5375" width="3.85546875" style="22" customWidth="1"/>
    <col min="5376" max="5376" width="39.85546875" style="22" customWidth="1"/>
    <col min="5377" max="5377" width="1.28515625" style="22" customWidth="1"/>
    <col min="5378" max="5378" width="12" style="22" customWidth="1"/>
    <col min="5379" max="5379" width="1.5703125" style="22" customWidth="1"/>
    <col min="5380" max="5380" width="12" style="22" customWidth="1"/>
    <col min="5381" max="5381" width="1.28515625" style="22" customWidth="1"/>
    <col min="5382" max="5382" width="13" style="22" customWidth="1"/>
    <col min="5383" max="5383" width="1.85546875" style="22" customWidth="1"/>
    <col min="5384" max="5384" width="11.28515625" style="22" customWidth="1"/>
    <col min="5385" max="5385" width="0.85546875" style="22" customWidth="1"/>
    <col min="5386" max="5386" width="11.5703125" style="22" customWidth="1"/>
    <col min="5387" max="5630" width="9.140625" style="22"/>
    <col min="5631" max="5631" width="3.85546875" style="22" customWidth="1"/>
    <col min="5632" max="5632" width="39.85546875" style="22" customWidth="1"/>
    <col min="5633" max="5633" width="1.28515625" style="22" customWidth="1"/>
    <col min="5634" max="5634" width="12" style="22" customWidth="1"/>
    <col min="5635" max="5635" width="1.5703125" style="22" customWidth="1"/>
    <col min="5636" max="5636" width="12" style="22" customWidth="1"/>
    <col min="5637" max="5637" width="1.28515625" style="22" customWidth="1"/>
    <col min="5638" max="5638" width="13" style="22" customWidth="1"/>
    <col min="5639" max="5639" width="1.85546875" style="22" customWidth="1"/>
    <col min="5640" max="5640" width="11.28515625" style="22" customWidth="1"/>
    <col min="5641" max="5641" width="0.85546875" style="22" customWidth="1"/>
    <col min="5642" max="5642" width="11.5703125" style="22" customWidth="1"/>
    <col min="5643" max="5886" width="9.140625" style="22"/>
    <col min="5887" max="5887" width="3.85546875" style="22" customWidth="1"/>
    <col min="5888" max="5888" width="39.85546875" style="22" customWidth="1"/>
    <col min="5889" max="5889" width="1.28515625" style="22" customWidth="1"/>
    <col min="5890" max="5890" width="12" style="22" customWidth="1"/>
    <col min="5891" max="5891" width="1.5703125" style="22" customWidth="1"/>
    <col min="5892" max="5892" width="12" style="22" customWidth="1"/>
    <col min="5893" max="5893" width="1.28515625" style="22" customWidth="1"/>
    <col min="5894" max="5894" width="13" style="22" customWidth="1"/>
    <col min="5895" max="5895" width="1.85546875" style="22" customWidth="1"/>
    <col min="5896" max="5896" width="11.28515625" style="22" customWidth="1"/>
    <col min="5897" max="5897" width="0.85546875" style="22" customWidth="1"/>
    <col min="5898" max="5898" width="11.5703125" style="22" customWidth="1"/>
    <col min="5899" max="6142" width="9.140625" style="22"/>
    <col min="6143" max="6143" width="3.85546875" style="22" customWidth="1"/>
    <col min="6144" max="6144" width="39.85546875" style="22" customWidth="1"/>
    <col min="6145" max="6145" width="1.28515625" style="22" customWidth="1"/>
    <col min="6146" max="6146" width="12" style="22" customWidth="1"/>
    <col min="6147" max="6147" width="1.5703125" style="22" customWidth="1"/>
    <col min="6148" max="6148" width="12" style="22" customWidth="1"/>
    <col min="6149" max="6149" width="1.28515625" style="22" customWidth="1"/>
    <col min="6150" max="6150" width="13" style="22" customWidth="1"/>
    <col min="6151" max="6151" width="1.85546875" style="22" customWidth="1"/>
    <col min="6152" max="6152" width="11.28515625" style="22" customWidth="1"/>
    <col min="6153" max="6153" width="0.85546875" style="22" customWidth="1"/>
    <col min="6154" max="6154" width="11.5703125" style="22" customWidth="1"/>
    <col min="6155" max="6398" width="9.140625" style="22"/>
    <col min="6399" max="6399" width="3.85546875" style="22" customWidth="1"/>
    <col min="6400" max="6400" width="39.85546875" style="22" customWidth="1"/>
    <col min="6401" max="6401" width="1.28515625" style="22" customWidth="1"/>
    <col min="6402" max="6402" width="12" style="22" customWidth="1"/>
    <col min="6403" max="6403" width="1.5703125" style="22" customWidth="1"/>
    <col min="6404" max="6404" width="12" style="22" customWidth="1"/>
    <col min="6405" max="6405" width="1.28515625" style="22" customWidth="1"/>
    <col min="6406" max="6406" width="13" style="22" customWidth="1"/>
    <col min="6407" max="6407" width="1.85546875" style="22" customWidth="1"/>
    <col min="6408" max="6408" width="11.28515625" style="22" customWidth="1"/>
    <col min="6409" max="6409" width="0.85546875" style="22" customWidth="1"/>
    <col min="6410" max="6410" width="11.5703125" style="22" customWidth="1"/>
    <col min="6411" max="6654" width="9.140625" style="22"/>
    <col min="6655" max="6655" width="3.85546875" style="22" customWidth="1"/>
    <col min="6656" max="6656" width="39.85546875" style="22" customWidth="1"/>
    <col min="6657" max="6657" width="1.28515625" style="22" customWidth="1"/>
    <col min="6658" max="6658" width="12" style="22" customWidth="1"/>
    <col min="6659" max="6659" width="1.5703125" style="22" customWidth="1"/>
    <col min="6660" max="6660" width="12" style="22" customWidth="1"/>
    <col min="6661" max="6661" width="1.28515625" style="22" customWidth="1"/>
    <col min="6662" max="6662" width="13" style="22" customWidth="1"/>
    <col min="6663" max="6663" width="1.85546875" style="22" customWidth="1"/>
    <col min="6664" max="6664" width="11.28515625" style="22" customWidth="1"/>
    <col min="6665" max="6665" width="0.85546875" style="22" customWidth="1"/>
    <col min="6666" max="6666" width="11.5703125" style="22" customWidth="1"/>
    <col min="6667" max="6910" width="9.140625" style="22"/>
    <col min="6911" max="6911" width="3.85546875" style="22" customWidth="1"/>
    <col min="6912" max="6912" width="39.85546875" style="22" customWidth="1"/>
    <col min="6913" max="6913" width="1.28515625" style="22" customWidth="1"/>
    <col min="6914" max="6914" width="12" style="22" customWidth="1"/>
    <col min="6915" max="6915" width="1.5703125" style="22" customWidth="1"/>
    <col min="6916" max="6916" width="12" style="22" customWidth="1"/>
    <col min="6917" max="6917" width="1.28515625" style="22" customWidth="1"/>
    <col min="6918" max="6918" width="13" style="22" customWidth="1"/>
    <col min="6919" max="6919" width="1.85546875" style="22" customWidth="1"/>
    <col min="6920" max="6920" width="11.28515625" style="22" customWidth="1"/>
    <col min="6921" max="6921" width="0.85546875" style="22" customWidth="1"/>
    <col min="6922" max="6922" width="11.5703125" style="22" customWidth="1"/>
    <col min="6923" max="7166" width="9.140625" style="22"/>
    <col min="7167" max="7167" width="3.85546875" style="22" customWidth="1"/>
    <col min="7168" max="7168" width="39.85546875" style="22" customWidth="1"/>
    <col min="7169" max="7169" width="1.28515625" style="22" customWidth="1"/>
    <col min="7170" max="7170" width="12" style="22" customWidth="1"/>
    <col min="7171" max="7171" width="1.5703125" style="22" customWidth="1"/>
    <col min="7172" max="7172" width="12" style="22" customWidth="1"/>
    <col min="7173" max="7173" width="1.28515625" style="22" customWidth="1"/>
    <col min="7174" max="7174" width="13" style="22" customWidth="1"/>
    <col min="7175" max="7175" width="1.85546875" style="22" customWidth="1"/>
    <col min="7176" max="7176" width="11.28515625" style="22" customWidth="1"/>
    <col min="7177" max="7177" width="0.85546875" style="22" customWidth="1"/>
    <col min="7178" max="7178" width="11.5703125" style="22" customWidth="1"/>
    <col min="7179" max="7422" width="9.140625" style="22"/>
    <col min="7423" max="7423" width="3.85546875" style="22" customWidth="1"/>
    <col min="7424" max="7424" width="39.85546875" style="22" customWidth="1"/>
    <col min="7425" max="7425" width="1.28515625" style="22" customWidth="1"/>
    <col min="7426" max="7426" width="12" style="22" customWidth="1"/>
    <col min="7427" max="7427" width="1.5703125" style="22" customWidth="1"/>
    <col min="7428" max="7428" width="12" style="22" customWidth="1"/>
    <col min="7429" max="7429" width="1.28515625" style="22" customWidth="1"/>
    <col min="7430" max="7430" width="13" style="22" customWidth="1"/>
    <col min="7431" max="7431" width="1.85546875" style="22" customWidth="1"/>
    <col min="7432" max="7432" width="11.28515625" style="22" customWidth="1"/>
    <col min="7433" max="7433" width="0.85546875" style="22" customWidth="1"/>
    <col min="7434" max="7434" width="11.5703125" style="22" customWidth="1"/>
    <col min="7435" max="7678" width="9.140625" style="22"/>
    <col min="7679" max="7679" width="3.85546875" style="22" customWidth="1"/>
    <col min="7680" max="7680" width="39.85546875" style="22" customWidth="1"/>
    <col min="7681" max="7681" width="1.28515625" style="22" customWidth="1"/>
    <col min="7682" max="7682" width="12" style="22" customWidth="1"/>
    <col min="7683" max="7683" width="1.5703125" style="22" customWidth="1"/>
    <col min="7684" max="7684" width="12" style="22" customWidth="1"/>
    <col min="7685" max="7685" width="1.28515625" style="22" customWidth="1"/>
    <col min="7686" max="7686" width="13" style="22" customWidth="1"/>
    <col min="7687" max="7687" width="1.85546875" style="22" customWidth="1"/>
    <col min="7688" max="7688" width="11.28515625" style="22" customWidth="1"/>
    <col min="7689" max="7689" width="0.85546875" style="22" customWidth="1"/>
    <col min="7690" max="7690" width="11.5703125" style="22" customWidth="1"/>
    <col min="7691" max="7934" width="9.140625" style="22"/>
    <col min="7935" max="7935" width="3.85546875" style="22" customWidth="1"/>
    <col min="7936" max="7936" width="39.85546875" style="22" customWidth="1"/>
    <col min="7937" max="7937" width="1.28515625" style="22" customWidth="1"/>
    <col min="7938" max="7938" width="12" style="22" customWidth="1"/>
    <col min="7939" max="7939" width="1.5703125" style="22" customWidth="1"/>
    <col min="7940" max="7940" width="12" style="22" customWidth="1"/>
    <col min="7941" max="7941" width="1.28515625" style="22" customWidth="1"/>
    <col min="7942" max="7942" width="13" style="22" customWidth="1"/>
    <col min="7943" max="7943" width="1.85546875" style="22" customWidth="1"/>
    <col min="7944" max="7944" width="11.28515625" style="22" customWidth="1"/>
    <col min="7945" max="7945" width="0.85546875" style="22" customWidth="1"/>
    <col min="7946" max="7946" width="11.5703125" style="22" customWidth="1"/>
    <col min="7947" max="8190" width="9.140625" style="22"/>
    <col min="8191" max="8191" width="3.85546875" style="22" customWidth="1"/>
    <col min="8192" max="8192" width="39.85546875" style="22" customWidth="1"/>
    <col min="8193" max="8193" width="1.28515625" style="22" customWidth="1"/>
    <col min="8194" max="8194" width="12" style="22" customWidth="1"/>
    <col min="8195" max="8195" width="1.5703125" style="22" customWidth="1"/>
    <col min="8196" max="8196" width="12" style="22" customWidth="1"/>
    <col min="8197" max="8197" width="1.28515625" style="22" customWidth="1"/>
    <col min="8198" max="8198" width="13" style="22" customWidth="1"/>
    <col min="8199" max="8199" width="1.85546875" style="22" customWidth="1"/>
    <col min="8200" max="8200" width="11.28515625" style="22" customWidth="1"/>
    <col min="8201" max="8201" width="0.85546875" style="22" customWidth="1"/>
    <col min="8202" max="8202" width="11.5703125" style="22" customWidth="1"/>
    <col min="8203" max="8446" width="9.140625" style="22"/>
    <col min="8447" max="8447" width="3.85546875" style="22" customWidth="1"/>
    <col min="8448" max="8448" width="39.85546875" style="22" customWidth="1"/>
    <col min="8449" max="8449" width="1.28515625" style="22" customWidth="1"/>
    <col min="8450" max="8450" width="12" style="22" customWidth="1"/>
    <col min="8451" max="8451" width="1.5703125" style="22" customWidth="1"/>
    <col min="8452" max="8452" width="12" style="22" customWidth="1"/>
    <col min="8453" max="8453" width="1.28515625" style="22" customWidth="1"/>
    <col min="8454" max="8454" width="13" style="22" customWidth="1"/>
    <col min="8455" max="8455" width="1.85546875" style="22" customWidth="1"/>
    <col min="8456" max="8456" width="11.28515625" style="22" customWidth="1"/>
    <col min="8457" max="8457" width="0.85546875" style="22" customWidth="1"/>
    <col min="8458" max="8458" width="11.5703125" style="22" customWidth="1"/>
    <col min="8459" max="8702" width="9.140625" style="22"/>
    <col min="8703" max="8703" width="3.85546875" style="22" customWidth="1"/>
    <col min="8704" max="8704" width="39.85546875" style="22" customWidth="1"/>
    <col min="8705" max="8705" width="1.28515625" style="22" customWidth="1"/>
    <col min="8706" max="8706" width="12" style="22" customWidth="1"/>
    <col min="8707" max="8707" width="1.5703125" style="22" customWidth="1"/>
    <col min="8708" max="8708" width="12" style="22" customWidth="1"/>
    <col min="8709" max="8709" width="1.28515625" style="22" customWidth="1"/>
    <col min="8710" max="8710" width="13" style="22" customWidth="1"/>
    <col min="8711" max="8711" width="1.85546875" style="22" customWidth="1"/>
    <col min="8712" max="8712" width="11.28515625" style="22" customWidth="1"/>
    <col min="8713" max="8713" width="0.85546875" style="22" customWidth="1"/>
    <col min="8714" max="8714" width="11.5703125" style="22" customWidth="1"/>
    <col min="8715" max="8958" width="9.140625" style="22"/>
    <col min="8959" max="8959" width="3.85546875" style="22" customWidth="1"/>
    <col min="8960" max="8960" width="39.85546875" style="22" customWidth="1"/>
    <col min="8961" max="8961" width="1.28515625" style="22" customWidth="1"/>
    <col min="8962" max="8962" width="12" style="22" customWidth="1"/>
    <col min="8963" max="8963" width="1.5703125" style="22" customWidth="1"/>
    <col min="8964" max="8964" width="12" style="22" customWidth="1"/>
    <col min="8965" max="8965" width="1.28515625" style="22" customWidth="1"/>
    <col min="8966" max="8966" width="13" style="22" customWidth="1"/>
    <col min="8967" max="8967" width="1.85546875" style="22" customWidth="1"/>
    <col min="8968" max="8968" width="11.28515625" style="22" customWidth="1"/>
    <col min="8969" max="8969" width="0.85546875" style="22" customWidth="1"/>
    <col min="8970" max="8970" width="11.5703125" style="22" customWidth="1"/>
    <col min="8971" max="9214" width="9.140625" style="22"/>
    <col min="9215" max="9215" width="3.85546875" style="22" customWidth="1"/>
    <col min="9216" max="9216" width="39.85546875" style="22" customWidth="1"/>
    <col min="9217" max="9217" width="1.28515625" style="22" customWidth="1"/>
    <col min="9218" max="9218" width="12" style="22" customWidth="1"/>
    <col min="9219" max="9219" width="1.5703125" style="22" customWidth="1"/>
    <col min="9220" max="9220" width="12" style="22" customWidth="1"/>
    <col min="9221" max="9221" width="1.28515625" style="22" customWidth="1"/>
    <col min="9222" max="9222" width="13" style="22" customWidth="1"/>
    <col min="9223" max="9223" width="1.85546875" style="22" customWidth="1"/>
    <col min="9224" max="9224" width="11.28515625" style="22" customWidth="1"/>
    <col min="9225" max="9225" width="0.85546875" style="22" customWidth="1"/>
    <col min="9226" max="9226" width="11.5703125" style="22" customWidth="1"/>
    <col min="9227" max="9470" width="9.140625" style="22"/>
    <col min="9471" max="9471" width="3.85546875" style="22" customWidth="1"/>
    <col min="9472" max="9472" width="39.85546875" style="22" customWidth="1"/>
    <col min="9473" max="9473" width="1.28515625" style="22" customWidth="1"/>
    <col min="9474" max="9474" width="12" style="22" customWidth="1"/>
    <col min="9475" max="9475" width="1.5703125" style="22" customWidth="1"/>
    <col min="9476" max="9476" width="12" style="22" customWidth="1"/>
    <col min="9477" max="9477" width="1.28515625" style="22" customWidth="1"/>
    <col min="9478" max="9478" width="13" style="22" customWidth="1"/>
    <col min="9479" max="9479" width="1.85546875" style="22" customWidth="1"/>
    <col min="9480" max="9480" width="11.28515625" style="22" customWidth="1"/>
    <col min="9481" max="9481" width="0.85546875" style="22" customWidth="1"/>
    <col min="9482" max="9482" width="11.5703125" style="22" customWidth="1"/>
    <col min="9483" max="9726" width="9.140625" style="22"/>
    <col min="9727" max="9727" width="3.85546875" style="22" customWidth="1"/>
    <col min="9728" max="9728" width="39.85546875" style="22" customWidth="1"/>
    <col min="9729" max="9729" width="1.28515625" style="22" customWidth="1"/>
    <col min="9730" max="9730" width="12" style="22" customWidth="1"/>
    <col min="9731" max="9731" width="1.5703125" style="22" customWidth="1"/>
    <col min="9732" max="9732" width="12" style="22" customWidth="1"/>
    <col min="9733" max="9733" width="1.28515625" style="22" customWidth="1"/>
    <col min="9734" max="9734" width="13" style="22" customWidth="1"/>
    <col min="9735" max="9735" width="1.85546875" style="22" customWidth="1"/>
    <col min="9736" max="9736" width="11.28515625" style="22" customWidth="1"/>
    <col min="9737" max="9737" width="0.85546875" style="22" customWidth="1"/>
    <col min="9738" max="9738" width="11.5703125" style="22" customWidth="1"/>
    <col min="9739" max="9982" width="9.140625" style="22"/>
    <col min="9983" max="9983" width="3.85546875" style="22" customWidth="1"/>
    <col min="9984" max="9984" width="39.85546875" style="22" customWidth="1"/>
    <col min="9985" max="9985" width="1.28515625" style="22" customWidth="1"/>
    <col min="9986" max="9986" width="12" style="22" customWidth="1"/>
    <col min="9987" max="9987" width="1.5703125" style="22" customWidth="1"/>
    <col min="9988" max="9988" width="12" style="22" customWidth="1"/>
    <col min="9989" max="9989" width="1.28515625" style="22" customWidth="1"/>
    <col min="9990" max="9990" width="13" style="22" customWidth="1"/>
    <col min="9991" max="9991" width="1.85546875" style="22" customWidth="1"/>
    <col min="9992" max="9992" width="11.28515625" style="22" customWidth="1"/>
    <col min="9993" max="9993" width="0.85546875" style="22" customWidth="1"/>
    <col min="9994" max="9994" width="11.5703125" style="22" customWidth="1"/>
    <col min="9995" max="10238" width="9.140625" style="22"/>
    <col min="10239" max="10239" width="3.85546875" style="22" customWidth="1"/>
    <col min="10240" max="10240" width="39.85546875" style="22" customWidth="1"/>
    <col min="10241" max="10241" width="1.28515625" style="22" customWidth="1"/>
    <col min="10242" max="10242" width="12" style="22" customWidth="1"/>
    <col min="10243" max="10243" width="1.5703125" style="22" customWidth="1"/>
    <col min="10244" max="10244" width="12" style="22" customWidth="1"/>
    <col min="10245" max="10245" width="1.28515625" style="22" customWidth="1"/>
    <col min="10246" max="10246" width="13" style="22" customWidth="1"/>
    <col min="10247" max="10247" width="1.85546875" style="22" customWidth="1"/>
    <col min="10248" max="10248" width="11.28515625" style="22" customWidth="1"/>
    <col min="10249" max="10249" width="0.85546875" style="22" customWidth="1"/>
    <col min="10250" max="10250" width="11.5703125" style="22" customWidth="1"/>
    <col min="10251" max="10494" width="9.140625" style="22"/>
    <col min="10495" max="10495" width="3.85546875" style="22" customWidth="1"/>
    <col min="10496" max="10496" width="39.85546875" style="22" customWidth="1"/>
    <col min="10497" max="10497" width="1.28515625" style="22" customWidth="1"/>
    <col min="10498" max="10498" width="12" style="22" customWidth="1"/>
    <col min="10499" max="10499" width="1.5703125" style="22" customWidth="1"/>
    <col min="10500" max="10500" width="12" style="22" customWidth="1"/>
    <col min="10501" max="10501" width="1.28515625" style="22" customWidth="1"/>
    <col min="10502" max="10502" width="13" style="22" customWidth="1"/>
    <col min="10503" max="10503" width="1.85546875" style="22" customWidth="1"/>
    <col min="10504" max="10504" width="11.28515625" style="22" customWidth="1"/>
    <col min="10505" max="10505" width="0.85546875" style="22" customWidth="1"/>
    <col min="10506" max="10506" width="11.5703125" style="22" customWidth="1"/>
    <col min="10507" max="10750" width="9.140625" style="22"/>
    <col min="10751" max="10751" width="3.85546875" style="22" customWidth="1"/>
    <col min="10752" max="10752" width="39.85546875" style="22" customWidth="1"/>
    <col min="10753" max="10753" width="1.28515625" style="22" customWidth="1"/>
    <col min="10754" max="10754" width="12" style="22" customWidth="1"/>
    <col min="10755" max="10755" width="1.5703125" style="22" customWidth="1"/>
    <col min="10756" max="10756" width="12" style="22" customWidth="1"/>
    <col min="10757" max="10757" width="1.28515625" style="22" customWidth="1"/>
    <col min="10758" max="10758" width="13" style="22" customWidth="1"/>
    <col min="10759" max="10759" width="1.85546875" style="22" customWidth="1"/>
    <col min="10760" max="10760" width="11.28515625" style="22" customWidth="1"/>
    <col min="10761" max="10761" width="0.85546875" style="22" customWidth="1"/>
    <col min="10762" max="10762" width="11.5703125" style="22" customWidth="1"/>
    <col min="10763" max="11006" width="9.140625" style="22"/>
    <col min="11007" max="11007" width="3.85546875" style="22" customWidth="1"/>
    <col min="11008" max="11008" width="39.85546875" style="22" customWidth="1"/>
    <col min="11009" max="11009" width="1.28515625" style="22" customWidth="1"/>
    <col min="11010" max="11010" width="12" style="22" customWidth="1"/>
    <col min="11011" max="11011" width="1.5703125" style="22" customWidth="1"/>
    <col min="11012" max="11012" width="12" style="22" customWidth="1"/>
    <col min="11013" max="11013" width="1.28515625" style="22" customWidth="1"/>
    <col min="11014" max="11014" width="13" style="22" customWidth="1"/>
    <col min="11015" max="11015" width="1.85546875" style="22" customWidth="1"/>
    <col min="11016" max="11016" width="11.28515625" style="22" customWidth="1"/>
    <col min="11017" max="11017" width="0.85546875" style="22" customWidth="1"/>
    <col min="11018" max="11018" width="11.5703125" style="22" customWidth="1"/>
    <col min="11019" max="11262" width="9.140625" style="22"/>
    <col min="11263" max="11263" width="3.85546875" style="22" customWidth="1"/>
    <col min="11264" max="11264" width="39.85546875" style="22" customWidth="1"/>
    <col min="11265" max="11265" width="1.28515625" style="22" customWidth="1"/>
    <col min="11266" max="11266" width="12" style="22" customWidth="1"/>
    <col min="11267" max="11267" width="1.5703125" style="22" customWidth="1"/>
    <col min="11268" max="11268" width="12" style="22" customWidth="1"/>
    <col min="11269" max="11269" width="1.28515625" style="22" customWidth="1"/>
    <col min="11270" max="11270" width="13" style="22" customWidth="1"/>
    <col min="11271" max="11271" width="1.85546875" style="22" customWidth="1"/>
    <col min="11272" max="11272" width="11.28515625" style="22" customWidth="1"/>
    <col min="11273" max="11273" width="0.85546875" style="22" customWidth="1"/>
    <col min="11274" max="11274" width="11.5703125" style="22" customWidth="1"/>
    <col min="11275" max="11518" width="9.140625" style="22"/>
    <col min="11519" max="11519" width="3.85546875" style="22" customWidth="1"/>
    <col min="11520" max="11520" width="39.85546875" style="22" customWidth="1"/>
    <col min="11521" max="11521" width="1.28515625" style="22" customWidth="1"/>
    <col min="11522" max="11522" width="12" style="22" customWidth="1"/>
    <col min="11523" max="11523" width="1.5703125" style="22" customWidth="1"/>
    <col min="11524" max="11524" width="12" style="22" customWidth="1"/>
    <col min="11525" max="11525" width="1.28515625" style="22" customWidth="1"/>
    <col min="11526" max="11526" width="13" style="22" customWidth="1"/>
    <col min="11527" max="11527" width="1.85546875" style="22" customWidth="1"/>
    <col min="11528" max="11528" width="11.28515625" style="22" customWidth="1"/>
    <col min="11529" max="11529" width="0.85546875" style="22" customWidth="1"/>
    <col min="11530" max="11530" width="11.5703125" style="22" customWidth="1"/>
    <col min="11531" max="11774" width="9.140625" style="22"/>
    <col min="11775" max="11775" width="3.85546875" style="22" customWidth="1"/>
    <col min="11776" max="11776" width="39.85546875" style="22" customWidth="1"/>
    <col min="11777" max="11777" width="1.28515625" style="22" customWidth="1"/>
    <col min="11778" max="11778" width="12" style="22" customWidth="1"/>
    <col min="11779" max="11779" width="1.5703125" style="22" customWidth="1"/>
    <col min="11780" max="11780" width="12" style="22" customWidth="1"/>
    <col min="11781" max="11781" width="1.28515625" style="22" customWidth="1"/>
    <col min="11782" max="11782" width="13" style="22" customWidth="1"/>
    <col min="11783" max="11783" width="1.85546875" style="22" customWidth="1"/>
    <col min="11784" max="11784" width="11.28515625" style="22" customWidth="1"/>
    <col min="11785" max="11785" width="0.85546875" style="22" customWidth="1"/>
    <col min="11786" max="11786" width="11.5703125" style="22" customWidth="1"/>
    <col min="11787" max="12030" width="9.140625" style="22"/>
    <col min="12031" max="12031" width="3.85546875" style="22" customWidth="1"/>
    <col min="12032" max="12032" width="39.85546875" style="22" customWidth="1"/>
    <col min="12033" max="12033" width="1.28515625" style="22" customWidth="1"/>
    <col min="12034" max="12034" width="12" style="22" customWidth="1"/>
    <col min="12035" max="12035" width="1.5703125" style="22" customWidth="1"/>
    <col min="12036" max="12036" width="12" style="22" customWidth="1"/>
    <col min="12037" max="12037" width="1.28515625" style="22" customWidth="1"/>
    <col min="12038" max="12038" width="13" style="22" customWidth="1"/>
    <col min="12039" max="12039" width="1.85546875" style="22" customWidth="1"/>
    <col min="12040" max="12040" width="11.28515625" style="22" customWidth="1"/>
    <col min="12041" max="12041" width="0.85546875" style="22" customWidth="1"/>
    <col min="12042" max="12042" width="11.5703125" style="22" customWidth="1"/>
    <col min="12043" max="12286" width="9.140625" style="22"/>
    <col min="12287" max="12287" width="3.85546875" style="22" customWidth="1"/>
    <col min="12288" max="12288" width="39.85546875" style="22" customWidth="1"/>
    <col min="12289" max="12289" width="1.28515625" style="22" customWidth="1"/>
    <col min="12290" max="12290" width="12" style="22" customWidth="1"/>
    <col min="12291" max="12291" width="1.5703125" style="22" customWidth="1"/>
    <col min="12292" max="12292" width="12" style="22" customWidth="1"/>
    <col min="12293" max="12293" width="1.28515625" style="22" customWidth="1"/>
    <col min="12294" max="12294" width="13" style="22" customWidth="1"/>
    <col min="12295" max="12295" width="1.85546875" style="22" customWidth="1"/>
    <col min="12296" max="12296" width="11.28515625" style="22" customWidth="1"/>
    <col min="12297" max="12297" width="0.85546875" style="22" customWidth="1"/>
    <col min="12298" max="12298" width="11.5703125" style="22" customWidth="1"/>
    <col min="12299" max="12542" width="9.140625" style="22"/>
    <col min="12543" max="12543" width="3.85546875" style="22" customWidth="1"/>
    <col min="12544" max="12544" width="39.85546875" style="22" customWidth="1"/>
    <col min="12545" max="12545" width="1.28515625" style="22" customWidth="1"/>
    <col min="12546" max="12546" width="12" style="22" customWidth="1"/>
    <col min="12547" max="12547" width="1.5703125" style="22" customWidth="1"/>
    <col min="12548" max="12548" width="12" style="22" customWidth="1"/>
    <col min="12549" max="12549" width="1.28515625" style="22" customWidth="1"/>
    <col min="12550" max="12550" width="13" style="22" customWidth="1"/>
    <col min="12551" max="12551" width="1.85546875" style="22" customWidth="1"/>
    <col min="12552" max="12552" width="11.28515625" style="22" customWidth="1"/>
    <col min="12553" max="12553" width="0.85546875" style="22" customWidth="1"/>
    <col min="12554" max="12554" width="11.5703125" style="22" customWidth="1"/>
    <col min="12555" max="12798" width="9.140625" style="22"/>
    <col min="12799" max="12799" width="3.85546875" style="22" customWidth="1"/>
    <col min="12800" max="12800" width="39.85546875" style="22" customWidth="1"/>
    <col min="12801" max="12801" width="1.28515625" style="22" customWidth="1"/>
    <col min="12802" max="12802" width="12" style="22" customWidth="1"/>
    <col min="12803" max="12803" width="1.5703125" style="22" customWidth="1"/>
    <col min="12804" max="12804" width="12" style="22" customWidth="1"/>
    <col min="12805" max="12805" width="1.28515625" style="22" customWidth="1"/>
    <col min="12806" max="12806" width="13" style="22" customWidth="1"/>
    <col min="12807" max="12807" width="1.85546875" style="22" customWidth="1"/>
    <col min="12808" max="12808" width="11.28515625" style="22" customWidth="1"/>
    <col min="12809" max="12809" width="0.85546875" style="22" customWidth="1"/>
    <col min="12810" max="12810" width="11.5703125" style="22" customWidth="1"/>
    <col min="12811" max="13054" width="9.140625" style="22"/>
    <col min="13055" max="13055" width="3.85546875" style="22" customWidth="1"/>
    <col min="13056" max="13056" width="39.85546875" style="22" customWidth="1"/>
    <col min="13057" max="13057" width="1.28515625" style="22" customWidth="1"/>
    <col min="13058" max="13058" width="12" style="22" customWidth="1"/>
    <col min="13059" max="13059" width="1.5703125" style="22" customWidth="1"/>
    <col min="13060" max="13060" width="12" style="22" customWidth="1"/>
    <col min="13061" max="13061" width="1.28515625" style="22" customWidth="1"/>
    <col min="13062" max="13062" width="13" style="22" customWidth="1"/>
    <col min="13063" max="13063" width="1.85546875" style="22" customWidth="1"/>
    <col min="13064" max="13064" width="11.28515625" style="22" customWidth="1"/>
    <col min="13065" max="13065" width="0.85546875" style="22" customWidth="1"/>
    <col min="13066" max="13066" width="11.5703125" style="22" customWidth="1"/>
    <col min="13067" max="13310" width="9.140625" style="22"/>
    <col min="13311" max="13311" width="3.85546875" style="22" customWidth="1"/>
    <col min="13312" max="13312" width="39.85546875" style="22" customWidth="1"/>
    <col min="13313" max="13313" width="1.28515625" style="22" customWidth="1"/>
    <col min="13314" max="13314" width="12" style="22" customWidth="1"/>
    <col min="13315" max="13315" width="1.5703125" style="22" customWidth="1"/>
    <col min="13316" max="13316" width="12" style="22" customWidth="1"/>
    <col min="13317" max="13317" width="1.28515625" style="22" customWidth="1"/>
    <col min="13318" max="13318" width="13" style="22" customWidth="1"/>
    <col min="13319" max="13319" width="1.85546875" style="22" customWidth="1"/>
    <col min="13320" max="13320" width="11.28515625" style="22" customWidth="1"/>
    <col min="13321" max="13321" width="0.85546875" style="22" customWidth="1"/>
    <col min="13322" max="13322" width="11.5703125" style="22" customWidth="1"/>
    <col min="13323" max="13566" width="9.140625" style="22"/>
    <col min="13567" max="13567" width="3.85546875" style="22" customWidth="1"/>
    <col min="13568" max="13568" width="39.85546875" style="22" customWidth="1"/>
    <col min="13569" max="13569" width="1.28515625" style="22" customWidth="1"/>
    <col min="13570" max="13570" width="12" style="22" customWidth="1"/>
    <col min="13571" max="13571" width="1.5703125" style="22" customWidth="1"/>
    <col min="13572" max="13572" width="12" style="22" customWidth="1"/>
    <col min="13573" max="13573" width="1.28515625" style="22" customWidth="1"/>
    <col min="13574" max="13574" width="13" style="22" customWidth="1"/>
    <col min="13575" max="13575" width="1.85546875" style="22" customWidth="1"/>
    <col min="13576" max="13576" width="11.28515625" style="22" customWidth="1"/>
    <col min="13577" max="13577" width="0.85546875" style="22" customWidth="1"/>
    <col min="13578" max="13578" width="11.5703125" style="22" customWidth="1"/>
    <col min="13579" max="13822" width="9.140625" style="22"/>
    <col min="13823" max="13823" width="3.85546875" style="22" customWidth="1"/>
    <col min="13824" max="13824" width="39.85546875" style="22" customWidth="1"/>
    <col min="13825" max="13825" width="1.28515625" style="22" customWidth="1"/>
    <col min="13826" max="13826" width="12" style="22" customWidth="1"/>
    <col min="13827" max="13827" width="1.5703125" style="22" customWidth="1"/>
    <col min="13828" max="13828" width="12" style="22" customWidth="1"/>
    <col min="13829" max="13829" width="1.28515625" style="22" customWidth="1"/>
    <col min="13830" max="13830" width="13" style="22" customWidth="1"/>
    <col min="13831" max="13831" width="1.85546875" style="22" customWidth="1"/>
    <col min="13832" max="13832" width="11.28515625" style="22" customWidth="1"/>
    <col min="13833" max="13833" width="0.85546875" style="22" customWidth="1"/>
    <col min="13834" max="13834" width="11.5703125" style="22" customWidth="1"/>
    <col min="13835" max="14078" width="9.140625" style="22"/>
    <col min="14079" max="14079" width="3.85546875" style="22" customWidth="1"/>
    <col min="14080" max="14080" width="39.85546875" style="22" customWidth="1"/>
    <col min="14081" max="14081" width="1.28515625" style="22" customWidth="1"/>
    <col min="14082" max="14082" width="12" style="22" customWidth="1"/>
    <col min="14083" max="14083" width="1.5703125" style="22" customWidth="1"/>
    <col min="14084" max="14084" width="12" style="22" customWidth="1"/>
    <col min="14085" max="14085" width="1.28515625" style="22" customWidth="1"/>
    <col min="14086" max="14086" width="13" style="22" customWidth="1"/>
    <col min="14087" max="14087" width="1.85546875" style="22" customWidth="1"/>
    <col min="14088" max="14088" width="11.28515625" style="22" customWidth="1"/>
    <col min="14089" max="14089" width="0.85546875" style="22" customWidth="1"/>
    <col min="14090" max="14090" width="11.5703125" style="22" customWidth="1"/>
    <col min="14091" max="14334" width="9.140625" style="22"/>
    <col min="14335" max="14335" width="3.85546875" style="22" customWidth="1"/>
    <col min="14336" max="14336" width="39.85546875" style="22" customWidth="1"/>
    <col min="14337" max="14337" width="1.28515625" style="22" customWidth="1"/>
    <col min="14338" max="14338" width="12" style="22" customWidth="1"/>
    <col min="14339" max="14339" width="1.5703125" style="22" customWidth="1"/>
    <col min="14340" max="14340" width="12" style="22" customWidth="1"/>
    <col min="14341" max="14341" width="1.28515625" style="22" customWidth="1"/>
    <col min="14342" max="14342" width="13" style="22" customWidth="1"/>
    <col min="14343" max="14343" width="1.85546875" style="22" customWidth="1"/>
    <col min="14344" max="14344" width="11.28515625" style="22" customWidth="1"/>
    <col min="14345" max="14345" width="0.85546875" style="22" customWidth="1"/>
    <col min="14346" max="14346" width="11.5703125" style="22" customWidth="1"/>
    <col min="14347" max="14590" width="9.140625" style="22"/>
    <col min="14591" max="14591" width="3.85546875" style="22" customWidth="1"/>
    <col min="14592" max="14592" width="39.85546875" style="22" customWidth="1"/>
    <col min="14593" max="14593" width="1.28515625" style="22" customWidth="1"/>
    <col min="14594" max="14594" width="12" style="22" customWidth="1"/>
    <col min="14595" max="14595" width="1.5703125" style="22" customWidth="1"/>
    <col min="14596" max="14596" width="12" style="22" customWidth="1"/>
    <col min="14597" max="14597" width="1.28515625" style="22" customWidth="1"/>
    <col min="14598" max="14598" width="13" style="22" customWidth="1"/>
    <col min="14599" max="14599" width="1.85546875" style="22" customWidth="1"/>
    <col min="14600" max="14600" width="11.28515625" style="22" customWidth="1"/>
    <col min="14601" max="14601" width="0.85546875" style="22" customWidth="1"/>
    <col min="14602" max="14602" width="11.5703125" style="22" customWidth="1"/>
    <col min="14603" max="14846" width="9.140625" style="22"/>
    <col min="14847" max="14847" width="3.85546875" style="22" customWidth="1"/>
    <col min="14848" max="14848" width="39.85546875" style="22" customWidth="1"/>
    <col min="14849" max="14849" width="1.28515625" style="22" customWidth="1"/>
    <col min="14850" max="14850" width="12" style="22" customWidth="1"/>
    <col min="14851" max="14851" width="1.5703125" style="22" customWidth="1"/>
    <col min="14852" max="14852" width="12" style="22" customWidth="1"/>
    <col min="14853" max="14853" width="1.28515625" style="22" customWidth="1"/>
    <col min="14854" max="14854" width="13" style="22" customWidth="1"/>
    <col min="14855" max="14855" width="1.85546875" style="22" customWidth="1"/>
    <col min="14856" max="14856" width="11.28515625" style="22" customWidth="1"/>
    <col min="14857" max="14857" width="0.85546875" style="22" customWidth="1"/>
    <col min="14858" max="14858" width="11.5703125" style="22" customWidth="1"/>
    <col min="14859" max="15102" width="9.140625" style="22"/>
    <col min="15103" max="15103" width="3.85546875" style="22" customWidth="1"/>
    <col min="15104" max="15104" width="39.85546875" style="22" customWidth="1"/>
    <col min="15105" max="15105" width="1.28515625" style="22" customWidth="1"/>
    <col min="15106" max="15106" width="12" style="22" customWidth="1"/>
    <col min="15107" max="15107" width="1.5703125" style="22" customWidth="1"/>
    <col min="15108" max="15108" width="12" style="22" customWidth="1"/>
    <col min="15109" max="15109" width="1.28515625" style="22" customWidth="1"/>
    <col min="15110" max="15110" width="13" style="22" customWidth="1"/>
    <col min="15111" max="15111" width="1.85546875" style="22" customWidth="1"/>
    <col min="15112" max="15112" width="11.28515625" style="22" customWidth="1"/>
    <col min="15113" max="15113" width="0.85546875" style="22" customWidth="1"/>
    <col min="15114" max="15114" width="11.5703125" style="22" customWidth="1"/>
    <col min="15115" max="15358" width="9.140625" style="22"/>
    <col min="15359" max="15359" width="3.85546875" style="22" customWidth="1"/>
    <col min="15360" max="15360" width="39.85546875" style="22" customWidth="1"/>
    <col min="15361" max="15361" width="1.28515625" style="22" customWidth="1"/>
    <col min="15362" max="15362" width="12" style="22" customWidth="1"/>
    <col min="15363" max="15363" width="1.5703125" style="22" customWidth="1"/>
    <col min="15364" max="15364" width="12" style="22" customWidth="1"/>
    <col min="15365" max="15365" width="1.28515625" style="22" customWidth="1"/>
    <col min="15366" max="15366" width="13" style="22" customWidth="1"/>
    <col min="15367" max="15367" width="1.85546875" style="22" customWidth="1"/>
    <col min="15368" max="15368" width="11.28515625" style="22" customWidth="1"/>
    <col min="15369" max="15369" width="0.85546875" style="22" customWidth="1"/>
    <col min="15370" max="15370" width="11.5703125" style="22" customWidth="1"/>
    <col min="15371" max="15614" width="9.140625" style="22"/>
    <col min="15615" max="15615" width="3.85546875" style="22" customWidth="1"/>
    <col min="15616" max="15616" width="39.85546875" style="22" customWidth="1"/>
    <col min="15617" max="15617" width="1.28515625" style="22" customWidth="1"/>
    <col min="15618" max="15618" width="12" style="22" customWidth="1"/>
    <col min="15619" max="15619" width="1.5703125" style="22" customWidth="1"/>
    <col min="15620" max="15620" width="12" style="22" customWidth="1"/>
    <col min="15621" max="15621" width="1.28515625" style="22" customWidth="1"/>
    <col min="15622" max="15622" width="13" style="22" customWidth="1"/>
    <col min="15623" max="15623" width="1.85546875" style="22" customWidth="1"/>
    <col min="15624" max="15624" width="11.28515625" style="22" customWidth="1"/>
    <col min="15625" max="15625" width="0.85546875" style="22" customWidth="1"/>
    <col min="15626" max="15626" width="11.5703125" style="22" customWidth="1"/>
    <col min="15627" max="15870" width="9.140625" style="22"/>
    <col min="15871" max="15871" width="3.85546875" style="22" customWidth="1"/>
    <col min="15872" max="15872" width="39.85546875" style="22" customWidth="1"/>
    <col min="15873" max="15873" width="1.28515625" style="22" customWidth="1"/>
    <col min="15874" max="15874" width="12" style="22" customWidth="1"/>
    <col min="15875" max="15875" width="1.5703125" style="22" customWidth="1"/>
    <col min="15876" max="15876" width="12" style="22" customWidth="1"/>
    <col min="15877" max="15877" width="1.28515625" style="22" customWidth="1"/>
    <col min="15878" max="15878" width="13" style="22" customWidth="1"/>
    <col min="15879" max="15879" width="1.85546875" style="22" customWidth="1"/>
    <col min="15880" max="15880" width="11.28515625" style="22" customWidth="1"/>
    <col min="15881" max="15881" width="0.85546875" style="22" customWidth="1"/>
    <col min="15882" max="15882" width="11.5703125" style="22" customWidth="1"/>
    <col min="15883" max="16126" width="9.140625" style="22"/>
    <col min="16127" max="16127" width="3.85546875" style="22" customWidth="1"/>
    <col min="16128" max="16128" width="39.85546875" style="22" customWidth="1"/>
    <col min="16129" max="16129" width="1.28515625" style="22" customWidth="1"/>
    <col min="16130" max="16130" width="12" style="22" customWidth="1"/>
    <col min="16131" max="16131" width="1.5703125" style="22" customWidth="1"/>
    <col min="16132" max="16132" width="12" style="22" customWidth="1"/>
    <col min="16133" max="16133" width="1.28515625" style="22" customWidth="1"/>
    <col min="16134" max="16134" width="13" style="22" customWidth="1"/>
    <col min="16135" max="16135" width="1.85546875" style="22" customWidth="1"/>
    <col min="16136" max="16136" width="11.28515625" style="22" customWidth="1"/>
    <col min="16137" max="16137" width="0.85546875" style="22" customWidth="1"/>
    <col min="16138" max="16138" width="11.5703125" style="22" customWidth="1"/>
    <col min="16139" max="16384" width="9.140625" style="22"/>
  </cols>
  <sheetData>
    <row r="1" spans="1:15">
      <c r="A1" s="533" t="s">
        <v>301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5">
      <c r="A2" s="533" t="s">
        <v>1050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3" spans="1:15">
      <c r="A3" s="534" t="s">
        <v>1397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</row>
    <row r="4" spans="1:15">
      <c r="A4" s="533" t="s">
        <v>1336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</row>
    <row r="5" spans="1:15">
      <c r="A5" s="535" t="s">
        <v>1501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</row>
    <row r="6" spans="1:15" ht="17.25" customHeight="1">
      <c r="E6" s="378"/>
    </row>
    <row r="7" spans="1:15" ht="77.25" thickBot="1">
      <c r="D7" s="153" t="s">
        <v>890</v>
      </c>
      <c r="E7" s="153" t="s">
        <v>962</v>
      </c>
      <c r="F7" s="406" t="s">
        <v>1192</v>
      </c>
      <c r="G7" s="406" t="s">
        <v>1406</v>
      </c>
      <c r="H7" s="153"/>
      <c r="I7" s="153"/>
      <c r="J7" s="153" t="s">
        <v>1398</v>
      </c>
      <c r="K7" s="153"/>
      <c r="L7" s="153" t="s">
        <v>1399</v>
      </c>
      <c r="M7" s="14" t="s">
        <v>1453</v>
      </c>
    </row>
    <row r="9" spans="1:15">
      <c r="A9" s="22" t="s">
        <v>92</v>
      </c>
      <c r="D9" s="19">
        <v>176945.82</v>
      </c>
      <c r="E9" s="19">
        <f>D72</f>
        <v>228788.62500000064</v>
      </c>
      <c r="F9" s="407">
        <f>E72</f>
        <v>316791.77800000011</v>
      </c>
      <c r="G9" s="19">
        <f>F72</f>
        <v>561167.60800000024</v>
      </c>
      <c r="H9" s="19"/>
      <c r="I9" s="19"/>
      <c r="J9" s="19">
        <v>601836</v>
      </c>
      <c r="K9" s="19"/>
      <c r="L9" s="19">
        <v>809470.79</v>
      </c>
      <c r="M9" s="19">
        <f>L9-J9</f>
        <v>207634.79000000004</v>
      </c>
    </row>
    <row r="10" spans="1:15">
      <c r="D10" s="21"/>
      <c r="E10" s="23"/>
      <c r="G10" s="23"/>
      <c r="H10" s="23"/>
      <c r="I10" s="23"/>
      <c r="J10" s="23"/>
      <c r="K10" s="23"/>
      <c r="L10" s="23"/>
      <c r="M10" s="21"/>
    </row>
    <row r="11" spans="1:15">
      <c r="D11" s="21"/>
      <c r="E11" s="21"/>
      <c r="F11" s="20"/>
      <c r="G11" s="21"/>
      <c r="H11" s="21"/>
      <c r="I11" s="21"/>
      <c r="J11" s="21"/>
      <c r="K11" s="21"/>
      <c r="L11" s="21"/>
      <c r="M11" s="21"/>
    </row>
    <row r="12" spans="1:15">
      <c r="A12" s="22" t="s">
        <v>93</v>
      </c>
      <c r="D12" s="21"/>
      <c r="E12" s="21"/>
      <c r="F12" s="20"/>
      <c r="G12" s="21"/>
      <c r="H12" s="21"/>
      <c r="I12" s="21"/>
      <c r="J12" s="21"/>
      <c r="K12" s="21"/>
      <c r="L12" s="21"/>
      <c r="M12" s="21"/>
    </row>
    <row r="13" spans="1:15">
      <c r="B13" s="22" t="s">
        <v>94</v>
      </c>
      <c r="D13" s="21">
        <f>REVENUE!C18+REVENUE!C22+REVENUE!C37+REVENUE!C58+REVENUE!C62</f>
        <v>484826.21</v>
      </c>
      <c r="E13" s="21">
        <f>REVENUE!D18+REVENUE!D22+REVENUE!D37+REVENUE!D58+REVENUE!D62</f>
        <v>542162.38</v>
      </c>
      <c r="F13" s="20">
        <f>REVENUE!E18+REVENUE!E22+REVENUE!E37+REVENUE!E58+REVENUE!E62</f>
        <v>570660.21</v>
      </c>
      <c r="G13" s="21">
        <f>REVENUE!F18+REVENUE!F22+REVENUE!F37+REVENUE!F58+REVENUE!F62</f>
        <v>599634.04</v>
      </c>
      <c r="H13" s="21">
        <f>REVENUE!G18+REVENUE!G37+REVENUE!G58+REVENUE!G62+REVENUE!G22</f>
        <v>0</v>
      </c>
      <c r="I13" s="21"/>
      <c r="J13" s="21">
        <f>REVENUE!H18+REVENUE!H37+REVENUE!H58+REVENUE!H62+REVENUE!H22</f>
        <v>582379</v>
      </c>
      <c r="K13" s="21"/>
      <c r="L13" s="21">
        <f>REVENUE!J18+REVENUE!J37+REVENUE!J58+REVENUE!J62+REVENUE!J22</f>
        <v>634279.61</v>
      </c>
      <c r="M13" s="21">
        <f>L13-J13</f>
        <v>51900.609999999986</v>
      </c>
      <c r="O13" s="21"/>
    </row>
    <row r="14" spans="1:15">
      <c r="B14" s="22" t="s">
        <v>95</v>
      </c>
      <c r="D14" s="20">
        <f>REVENUE!C94</f>
        <v>1873075</v>
      </c>
      <c r="E14" s="20">
        <f>REVENUE!D94</f>
        <v>2019761.63</v>
      </c>
      <c r="F14" s="20">
        <f>REVENUE!E94</f>
        <v>2276448.0300000003</v>
      </c>
      <c r="G14" s="20">
        <f>REVENUE!F94</f>
        <v>2339263.69</v>
      </c>
      <c r="H14" s="20">
        <f>REVENUE!G94</f>
        <v>0</v>
      </c>
      <c r="I14" s="20"/>
      <c r="J14" s="20">
        <f>REVENUE!H94</f>
        <v>2626786.0528042801</v>
      </c>
      <c r="K14" s="20"/>
      <c r="L14" s="20">
        <f>REVENUE!J94</f>
        <v>2711410.9499999997</v>
      </c>
      <c r="M14" s="21">
        <f t="shared" ref="M14:M17" si="0">L14-J14</f>
        <v>84624.897195719648</v>
      </c>
    </row>
    <row r="15" spans="1:15">
      <c r="B15" s="22" t="s">
        <v>96</v>
      </c>
      <c r="D15" s="20">
        <f>REVENUE!C121</f>
        <v>1181295.6000000001</v>
      </c>
      <c r="E15" s="20">
        <f>REVENUE!D121</f>
        <v>905435.46000000008</v>
      </c>
      <c r="F15" s="20">
        <f>REVENUE!E121</f>
        <v>815849.75</v>
      </c>
      <c r="G15" s="20">
        <f>REVENUE!F121</f>
        <v>834005.33000000019</v>
      </c>
      <c r="H15" s="20">
        <f>REVENUE!G121</f>
        <v>0</v>
      </c>
      <c r="I15" s="20"/>
      <c r="J15" s="20">
        <f>REVENUE!H121</f>
        <v>543549.92999999993</v>
      </c>
      <c r="K15" s="20"/>
      <c r="L15" s="20">
        <f>REVENUE!J121</f>
        <v>2400509.1500000004</v>
      </c>
      <c r="M15" s="21">
        <f t="shared" si="0"/>
        <v>1856959.2200000004</v>
      </c>
    </row>
    <row r="16" spans="1:15">
      <c r="B16" s="22" t="s">
        <v>97</v>
      </c>
      <c r="D16" s="20">
        <f>REVENUE!C46</f>
        <v>32738.41</v>
      </c>
      <c r="E16" s="20">
        <f>REVENUE!D46+REVENUE!D127</f>
        <v>5875.06</v>
      </c>
      <c r="F16" s="20">
        <f>REVENUE!E46</f>
        <v>6574.72</v>
      </c>
      <c r="G16" s="20">
        <f>REVENUE!F46</f>
        <v>4039.92</v>
      </c>
      <c r="H16" s="20">
        <f>REVENUE!G46</f>
        <v>0</v>
      </c>
      <c r="I16" s="20"/>
      <c r="J16" s="20">
        <f>REVENUE!H46</f>
        <v>5470</v>
      </c>
      <c r="K16" s="20"/>
      <c r="L16" s="20">
        <f>REVENUE!J46</f>
        <v>9220</v>
      </c>
      <c r="M16" s="21">
        <f t="shared" si="0"/>
        <v>3750</v>
      </c>
    </row>
    <row r="17" spans="1:18">
      <c r="B17" s="261" t="s">
        <v>961</v>
      </c>
      <c r="D17" s="20"/>
      <c r="E17" s="20"/>
      <c r="F17" s="20"/>
      <c r="G17" s="20">
        <f>REVENUE!F127</f>
        <v>9191.41</v>
      </c>
      <c r="H17" s="20">
        <f>REVENUE!G127</f>
        <v>0</v>
      </c>
      <c r="I17" s="20"/>
      <c r="J17" s="20">
        <f>REVENUE!H127</f>
        <v>0</v>
      </c>
      <c r="K17" s="20"/>
      <c r="L17" s="20">
        <f>REVENUE!J127</f>
        <v>8458</v>
      </c>
      <c r="M17" s="21">
        <f t="shared" si="0"/>
        <v>8458</v>
      </c>
    </row>
    <row r="18" spans="1:18">
      <c r="D18" s="19"/>
      <c r="E18" s="19"/>
      <c r="F18" s="407"/>
      <c r="G18" s="19"/>
      <c r="H18" s="19"/>
      <c r="I18" s="19"/>
      <c r="J18" s="19"/>
      <c r="K18" s="19"/>
      <c r="L18" s="19"/>
      <c r="M18" s="21"/>
    </row>
    <row r="19" spans="1:18">
      <c r="B19" s="22" t="s">
        <v>98</v>
      </c>
      <c r="C19" s="20"/>
      <c r="D19" s="21">
        <f t="shared" ref="D19" si="1">SUM(D13:D18)</f>
        <v>3571935.22</v>
      </c>
      <c r="E19" s="21">
        <f t="shared" ref="E19" si="2">SUM(E13:E18)</f>
        <v>3473234.53</v>
      </c>
      <c r="F19" s="20">
        <f t="shared" ref="F19" si="3">SUM(F13:F18)</f>
        <v>3669532.7100000004</v>
      </c>
      <c r="G19" s="21">
        <f t="shared" ref="G19" si="4">SUM(G13:G18)</f>
        <v>3786134.39</v>
      </c>
      <c r="H19" s="21"/>
      <c r="I19" s="21"/>
      <c r="J19" s="21">
        <f t="shared" ref="J19:L19" si="5">SUM(J13:J18)</f>
        <v>3758184.9828042798</v>
      </c>
      <c r="K19" s="21"/>
      <c r="L19" s="21">
        <f t="shared" si="5"/>
        <v>5763877.71</v>
      </c>
      <c r="M19" s="24">
        <f t="shared" ref="M19" si="6">SUM(M13:M18)</f>
        <v>2005692.7271957202</v>
      </c>
      <c r="N19" s="21"/>
      <c r="O19" s="21"/>
      <c r="P19" s="396">
        <f>3786134.39-G19</f>
        <v>0</v>
      </c>
      <c r="R19" s="21"/>
    </row>
    <row r="20" spans="1:18">
      <c r="C20" s="20"/>
      <c r="D20" s="21"/>
      <c r="E20" s="21"/>
      <c r="F20" s="20"/>
      <c r="G20" s="21"/>
      <c r="H20" s="21"/>
      <c r="I20" s="21"/>
      <c r="J20" s="21"/>
      <c r="K20" s="21"/>
      <c r="L20" s="21"/>
      <c r="M20" s="21"/>
      <c r="P20" s="396" t="s">
        <v>873</v>
      </c>
    </row>
    <row r="21" spans="1:18">
      <c r="A21" s="22" t="s">
        <v>99</v>
      </c>
      <c r="C21" s="20"/>
      <c r="D21" s="21"/>
      <c r="E21" s="21"/>
      <c r="F21" s="20"/>
      <c r="G21" s="21"/>
      <c r="H21" s="21"/>
      <c r="I21" s="21"/>
      <c r="J21" s="21"/>
      <c r="K21" s="21"/>
      <c r="L21" s="21"/>
      <c r="M21" s="21"/>
    </row>
    <row r="22" spans="1:18">
      <c r="B22" s="155" t="s">
        <v>1</v>
      </c>
      <c r="C22" s="20"/>
      <c r="D22" s="21">
        <f>EXPENSE!C27</f>
        <v>552384.23999999976</v>
      </c>
      <c r="E22" s="21">
        <f>EXPENSE!D27</f>
        <v>560645.97699999984</v>
      </c>
      <c r="F22" s="20">
        <f>EXPENSE!E27</f>
        <v>571596.3400000002</v>
      </c>
      <c r="G22" s="21">
        <f>EXPENSE!G27</f>
        <v>569576.43000000005</v>
      </c>
      <c r="H22" s="21">
        <f>EXPENSE!H27</f>
        <v>0</v>
      </c>
      <c r="I22" s="21"/>
      <c r="J22" s="21">
        <f>EXPENSE!J27</f>
        <v>674775.16948300006</v>
      </c>
      <c r="K22" s="21"/>
      <c r="L22" s="21">
        <f>EXPENSE!L27</f>
        <v>423357.576</v>
      </c>
      <c r="M22" s="21">
        <f t="shared" ref="M22:M65" si="7">L22-J22</f>
        <v>-251417.59348300006</v>
      </c>
    </row>
    <row r="23" spans="1:18">
      <c r="B23" s="155" t="s">
        <v>4</v>
      </c>
      <c r="C23" s="20"/>
      <c r="D23" s="20">
        <f>EXPENSE!C49</f>
        <v>294133.93999999994</v>
      </c>
      <c r="E23" s="20">
        <f>EXPENSE!D49</f>
        <v>235689.52000000005</v>
      </c>
      <c r="F23" s="20">
        <f>EXPENSE!E49</f>
        <v>243333.40999999997</v>
      </c>
      <c r="G23" s="20">
        <f>EXPENSE!G49</f>
        <v>268602.18</v>
      </c>
      <c r="H23" s="20">
        <f>EXPENSE!H49</f>
        <v>0</v>
      </c>
      <c r="I23" s="20"/>
      <c r="J23" s="20">
        <f>EXPENSE!J49</f>
        <v>295248.31379199994</v>
      </c>
      <c r="K23" s="20"/>
      <c r="L23" s="20">
        <f>EXPENSE!L49</f>
        <v>304177.01137299993</v>
      </c>
      <c r="M23" s="21">
        <f t="shared" si="7"/>
        <v>8928.6975809999858</v>
      </c>
    </row>
    <row r="24" spans="1:18">
      <c r="B24" s="155" t="s">
        <v>6</v>
      </c>
      <c r="C24" s="20"/>
      <c r="D24" s="20">
        <f>EXPENSE!C82</f>
        <v>339782.96</v>
      </c>
      <c r="E24" s="20">
        <f>EXPENSE!D82</f>
        <v>333831.04000000004</v>
      </c>
      <c r="F24" s="20">
        <f>EXPENSE!E82</f>
        <v>369679.95999999996</v>
      </c>
      <c r="G24" s="20">
        <f>EXPENSE!G82</f>
        <v>444914.86300000001</v>
      </c>
      <c r="H24" s="20">
        <f>EXPENSE!H82</f>
        <v>0</v>
      </c>
      <c r="I24" s="20"/>
      <c r="J24" s="20">
        <f>EXPENSE!J82</f>
        <v>467505.22079399996</v>
      </c>
      <c r="K24" s="20"/>
      <c r="L24" s="20">
        <f>EXPENSE!L82</f>
        <v>511141.96810000006</v>
      </c>
      <c r="M24" s="21">
        <f t="shared" si="7"/>
        <v>43636.747306000092</v>
      </c>
    </row>
    <row r="25" spans="1:18">
      <c r="B25" s="155" t="s">
        <v>300</v>
      </c>
      <c r="C25" s="20"/>
      <c r="D25" s="20">
        <f>EXPENSE!C89</f>
        <v>2501.96</v>
      </c>
      <c r="E25" s="20">
        <f>EXPENSE!D89</f>
        <v>2670.4300000000003</v>
      </c>
      <c r="F25" s="20">
        <f>EXPENSE!E89</f>
        <v>1822.72</v>
      </c>
      <c r="G25" s="20">
        <f>EXPENSE!G89</f>
        <v>2138.84</v>
      </c>
      <c r="H25" s="20">
        <f>EXPENSE!H89</f>
        <v>0</v>
      </c>
      <c r="I25" s="20"/>
      <c r="J25" s="20">
        <f>EXPENSE!J89</f>
        <v>2140</v>
      </c>
      <c r="K25" s="20"/>
      <c r="L25" s="20">
        <f>EXPENSE!L89</f>
        <v>2375</v>
      </c>
      <c r="M25" s="21">
        <f t="shared" si="7"/>
        <v>235</v>
      </c>
    </row>
    <row r="26" spans="1:18">
      <c r="B26" s="155" t="s">
        <v>104</v>
      </c>
      <c r="C26" s="20"/>
      <c r="D26" s="20">
        <f>EXPENSE!C121</f>
        <v>4561.3469999999998</v>
      </c>
      <c r="E26" s="20">
        <f>EXPENSE!D121</f>
        <v>101619.51000000001</v>
      </c>
      <c r="F26" s="20">
        <f>EXPENSE!E121</f>
        <v>141003.99</v>
      </c>
      <c r="G26" s="20">
        <f>EXPENSE!G121</f>
        <v>145879.23999999996</v>
      </c>
      <c r="H26" s="20">
        <f>EXPENSE!H121</f>
        <v>0</v>
      </c>
      <c r="I26" s="20"/>
      <c r="J26" s="20">
        <f>EXPENSE!J121</f>
        <v>128796.582448</v>
      </c>
      <c r="K26" s="20"/>
      <c r="L26" s="20">
        <f>EXPENSE!L121</f>
        <v>121298.69504500001</v>
      </c>
      <c r="M26" s="21">
        <f t="shared" si="7"/>
        <v>-7497.8874029999861</v>
      </c>
    </row>
    <row r="27" spans="1:18">
      <c r="B27" s="155" t="s">
        <v>105</v>
      </c>
      <c r="C27" s="20"/>
      <c r="D27" s="20">
        <f>EXPENSE!C322</f>
        <v>78934.289999999994</v>
      </c>
      <c r="E27" s="20">
        <f>EXPENSE!D322</f>
        <v>66943.3</v>
      </c>
      <c r="F27" s="20">
        <f>EXPENSE!E322</f>
        <v>61757.58</v>
      </c>
      <c r="G27" s="20">
        <f>EXPENSE!G322</f>
        <v>65768.08</v>
      </c>
      <c r="H27" s="20">
        <f>EXPENSE!H322</f>
        <v>0</v>
      </c>
      <c r="I27" s="20"/>
      <c r="J27" s="20">
        <f>EXPENSE!J322</f>
        <v>123455.67999999999</v>
      </c>
      <c r="K27" s="20"/>
      <c r="L27" s="20">
        <f>EXPENSE!L322</f>
        <v>62759.57</v>
      </c>
      <c r="M27" s="21">
        <f t="shared" si="7"/>
        <v>-60696.109999999993</v>
      </c>
    </row>
    <row r="28" spans="1:18">
      <c r="B28" s="10" t="s">
        <v>1478</v>
      </c>
      <c r="C28" s="20"/>
      <c r="D28" s="20"/>
      <c r="E28" s="20"/>
      <c r="F28" s="20"/>
      <c r="G28" s="20"/>
      <c r="H28" s="20"/>
      <c r="I28" s="20"/>
      <c r="J28" s="20"/>
      <c r="K28" s="20"/>
      <c r="L28" s="20">
        <f>EXPENSE!L327</f>
        <v>425</v>
      </c>
      <c r="M28" s="21">
        <f t="shared" si="7"/>
        <v>425</v>
      </c>
    </row>
    <row r="29" spans="1:18">
      <c r="B29" s="10" t="s">
        <v>515</v>
      </c>
      <c r="C29" s="20"/>
      <c r="D29" s="20">
        <f>EXPENSE!C129</f>
        <v>37833.24</v>
      </c>
      <c r="E29" s="20">
        <f>EXPENSE!D129</f>
        <v>38818.910000000003</v>
      </c>
      <c r="F29" s="20">
        <f>EXPENSE!E129</f>
        <v>37738.29</v>
      </c>
      <c r="G29" s="20">
        <f>EXPENSE!G129</f>
        <v>35408.550000000003</v>
      </c>
      <c r="H29" s="20">
        <f>EXPENSE!H129</f>
        <v>0</v>
      </c>
      <c r="I29" s="20"/>
      <c r="J29" s="20">
        <f>EXPENSE!J129</f>
        <v>39053.648493000001</v>
      </c>
      <c r="K29" s="20"/>
      <c r="L29" s="20">
        <f>EXPENSE!L129</f>
        <v>72784.792324000009</v>
      </c>
      <c r="M29" s="21">
        <f t="shared" si="7"/>
        <v>33731.143831000009</v>
      </c>
    </row>
    <row r="30" spans="1:18">
      <c r="B30" s="271" t="s">
        <v>1178</v>
      </c>
      <c r="C30" s="20"/>
      <c r="D30" s="20"/>
      <c r="E30" s="20"/>
      <c r="F30" s="20">
        <f>EXPENSE!E133</f>
        <v>546.92999999999995</v>
      </c>
      <c r="G30" s="20">
        <f>EXPENSE!G133</f>
        <v>0</v>
      </c>
      <c r="H30" s="20">
        <f>EXPENSE!H133</f>
        <v>0</v>
      </c>
      <c r="I30" s="20"/>
      <c r="J30" s="20">
        <f>EXPENSE!J133</f>
        <v>550</v>
      </c>
      <c r="K30" s="20"/>
      <c r="L30" s="20">
        <f>EXPENSE!L133</f>
        <v>550</v>
      </c>
      <c r="M30" s="21">
        <f t="shared" si="7"/>
        <v>0</v>
      </c>
    </row>
    <row r="31" spans="1:18">
      <c r="B31" s="155" t="s">
        <v>8</v>
      </c>
      <c r="C31" s="20"/>
      <c r="D31" s="20">
        <f>EXPENSE!C145</f>
        <v>36274.18</v>
      </c>
      <c r="E31" s="20">
        <f>EXPENSE!D145</f>
        <v>53745.61</v>
      </c>
      <c r="F31" s="20">
        <f>EXPENSE!E145</f>
        <v>48780.130000000012</v>
      </c>
      <c r="G31" s="20">
        <f>EXPENSE!G145</f>
        <v>25369.78</v>
      </c>
      <c r="H31" s="20">
        <f>EXPENSE!H145</f>
        <v>0</v>
      </c>
      <c r="I31" s="20"/>
      <c r="J31" s="20">
        <f>EXPENSE!J145</f>
        <v>50360</v>
      </c>
      <c r="K31" s="20"/>
      <c r="L31" s="20">
        <f>EXPENSE!L145</f>
        <v>32930</v>
      </c>
      <c r="M31" s="21">
        <f t="shared" si="7"/>
        <v>-17430</v>
      </c>
    </row>
    <row r="32" spans="1:18">
      <c r="B32" s="155" t="s">
        <v>11</v>
      </c>
      <c r="C32" s="20"/>
      <c r="D32" s="20">
        <f>EXPENSE!C163</f>
        <v>86807.31</v>
      </c>
      <c r="E32" s="20">
        <f>EXPENSE!D163</f>
        <v>91454.61</v>
      </c>
      <c r="F32" s="20">
        <f>EXPENSE!E163</f>
        <v>111660.21</v>
      </c>
      <c r="G32" s="20">
        <f>EXPENSE!G163</f>
        <v>110159.24000000002</v>
      </c>
      <c r="H32" s="20">
        <f>EXPENSE!H163</f>
        <v>0</v>
      </c>
      <c r="I32" s="20"/>
      <c r="J32" s="20">
        <f>EXPENSE!J163</f>
        <v>121398.9</v>
      </c>
      <c r="K32" s="20"/>
      <c r="L32" s="20">
        <f>EXPENSE!L163</f>
        <v>192174</v>
      </c>
      <c r="M32" s="21">
        <f t="shared" si="7"/>
        <v>70775.100000000006</v>
      </c>
    </row>
    <row r="33" spans="1:13">
      <c r="B33" s="155" t="s">
        <v>12</v>
      </c>
      <c r="C33" s="20"/>
      <c r="D33" s="20">
        <f>EXPENSE!C204</f>
        <v>204831.90799999997</v>
      </c>
      <c r="E33" s="20">
        <f>EXPENSE!D204</f>
        <v>122723.73999999999</v>
      </c>
      <c r="F33" s="20">
        <f>EXPENSE!E204</f>
        <v>125617.24000000002</v>
      </c>
      <c r="G33" s="20">
        <f>EXPENSE!G204</f>
        <v>140569.80000000005</v>
      </c>
      <c r="H33" s="20">
        <f>EXPENSE!H204</f>
        <v>0</v>
      </c>
      <c r="I33" s="20"/>
      <c r="J33" s="20">
        <f>EXPENSE!J204</f>
        <v>164068.46679999999</v>
      </c>
      <c r="K33" s="20"/>
      <c r="L33" s="20">
        <f>EXPENSE!L204</f>
        <v>177238.07</v>
      </c>
      <c r="M33" s="21">
        <f t="shared" si="7"/>
        <v>13169.603200000012</v>
      </c>
    </row>
    <row r="34" spans="1:13">
      <c r="B34" s="155" t="s">
        <v>106</v>
      </c>
      <c r="C34" s="20"/>
      <c r="D34" s="20">
        <f>EXPENSE!C219</f>
        <v>106852.86000000002</v>
      </c>
      <c r="E34" s="20">
        <f>EXPENSE!D219</f>
        <v>126890.90999999999</v>
      </c>
      <c r="F34" s="20">
        <f>EXPENSE!E219</f>
        <v>93850.040000000008</v>
      </c>
      <c r="G34" s="20">
        <f>EXPENSE!G219</f>
        <v>96259.95</v>
      </c>
      <c r="H34" s="20">
        <f>EXPENSE!H219</f>
        <v>0</v>
      </c>
      <c r="I34" s="20"/>
      <c r="J34" s="20">
        <f>EXPENSE!J219</f>
        <v>102443</v>
      </c>
      <c r="K34" s="20"/>
      <c r="L34" s="20">
        <f>EXPENSE!L219</f>
        <v>103943</v>
      </c>
      <c r="M34" s="21">
        <f t="shared" si="7"/>
        <v>1500</v>
      </c>
    </row>
    <row r="35" spans="1:13">
      <c r="B35" s="155" t="s">
        <v>16</v>
      </c>
      <c r="C35" s="20"/>
      <c r="D35" s="20">
        <f>EXPENSE!C230</f>
        <v>18314.97</v>
      </c>
      <c r="E35" s="20">
        <f>EXPENSE!D230</f>
        <v>36559.780000000006</v>
      </c>
      <c r="F35" s="20">
        <f>EXPENSE!E230</f>
        <v>29759.95</v>
      </c>
      <c r="G35" s="20">
        <f>EXPENSE!G230</f>
        <v>27085.09</v>
      </c>
      <c r="H35" s="20">
        <f>EXPENSE!H230</f>
        <v>0</v>
      </c>
      <c r="I35" s="20"/>
      <c r="J35" s="20">
        <f>EXPENSE!J230</f>
        <v>26565</v>
      </c>
      <c r="K35" s="20"/>
      <c r="L35" s="20">
        <f>EXPENSE!L230</f>
        <v>32365</v>
      </c>
      <c r="M35" s="21">
        <f t="shared" si="7"/>
        <v>5800</v>
      </c>
    </row>
    <row r="36" spans="1:13">
      <c r="B36" s="155" t="s">
        <v>18</v>
      </c>
      <c r="C36" s="20"/>
      <c r="D36" s="20">
        <f>EXPENSE!C273</f>
        <v>287677.67</v>
      </c>
      <c r="E36" s="20">
        <f>EXPENSE!D273</f>
        <v>276396.33</v>
      </c>
      <c r="F36" s="20">
        <f>EXPENSE!E273</f>
        <v>263881.61</v>
      </c>
      <c r="G36" s="20">
        <f>EXPENSE!G273</f>
        <v>270440.58999999997</v>
      </c>
      <c r="H36" s="20">
        <f>EXPENSE!H273</f>
        <v>0</v>
      </c>
      <c r="I36" s="20"/>
      <c r="J36" s="20">
        <f>EXPENSE!J273</f>
        <v>293984.07199999999</v>
      </c>
      <c r="K36" s="20"/>
      <c r="L36" s="20">
        <f>EXPENSE!L273</f>
        <v>327145.77470000001</v>
      </c>
      <c r="M36" s="21">
        <f t="shared" si="7"/>
        <v>33161.702700000023</v>
      </c>
    </row>
    <row r="37" spans="1:13">
      <c r="B37" s="155" t="s">
        <v>107</v>
      </c>
      <c r="C37" s="20"/>
      <c r="D37" s="20">
        <f>EXPENSE!C303</f>
        <v>162105.34</v>
      </c>
      <c r="E37" s="20">
        <f>EXPENSE!D303</f>
        <v>170820.32999999996</v>
      </c>
      <c r="F37" s="20">
        <f>EXPENSE!E303</f>
        <v>221501.36000000004</v>
      </c>
      <c r="G37" s="20">
        <f>EXPENSE!G303</f>
        <v>195490.38</v>
      </c>
      <c r="H37" s="20">
        <f>EXPENSE!H303</f>
        <v>0</v>
      </c>
      <c r="I37" s="20"/>
      <c r="J37" s="20">
        <f>EXPENSE!J303</f>
        <v>232383.63040000002</v>
      </c>
      <c r="K37" s="20"/>
      <c r="L37" s="20">
        <f>EXPENSE!L303</f>
        <v>237667.55328000002</v>
      </c>
      <c r="M37" s="21">
        <f t="shared" si="7"/>
        <v>5283.9228799999983</v>
      </c>
    </row>
    <row r="38" spans="1:13">
      <c r="B38" s="155" t="s">
        <v>299</v>
      </c>
      <c r="C38" s="20"/>
      <c r="D38" s="20">
        <f>EXPENSE!C540</f>
        <v>0</v>
      </c>
      <c r="E38" s="20">
        <f>EXPENSE!D540</f>
        <v>5584.65</v>
      </c>
      <c r="F38" s="20">
        <f>EXPENSE!E540</f>
        <v>1409.55</v>
      </c>
      <c r="G38" s="20">
        <f>EXPENSE!G540</f>
        <v>4910.87</v>
      </c>
      <c r="H38" s="20">
        <f>EXPENSE!H540</f>
        <v>0</v>
      </c>
      <c r="I38" s="20"/>
      <c r="J38" s="20">
        <f>EXPENSE!J540</f>
        <v>3921</v>
      </c>
      <c r="K38" s="20"/>
      <c r="L38" s="20">
        <f>EXPENSE!L540</f>
        <v>7467.26</v>
      </c>
      <c r="M38" s="21">
        <f t="shared" si="7"/>
        <v>3546.26</v>
      </c>
    </row>
    <row r="39" spans="1:13">
      <c r="B39" s="155" t="s">
        <v>289</v>
      </c>
      <c r="C39" s="20"/>
      <c r="D39" s="20">
        <f>EXPENSE!C544</f>
        <v>2653.29</v>
      </c>
      <c r="E39" s="20">
        <f>EXPENSE!D544</f>
        <v>1875.1</v>
      </c>
      <c r="F39" s="20">
        <f>EXPENSE!E544</f>
        <v>0</v>
      </c>
      <c r="G39" s="20">
        <f>EXPENSE!G544</f>
        <v>0</v>
      </c>
      <c r="H39" s="20">
        <f>EXPENSE!H544</f>
        <v>0</v>
      </c>
      <c r="I39" s="20"/>
      <c r="J39" s="20">
        <f>EXPENSE!J544</f>
        <v>2621.61</v>
      </c>
      <c r="K39" s="20"/>
      <c r="L39" s="20">
        <f>EXPENSE!L544</f>
        <v>2621.61</v>
      </c>
      <c r="M39" s="21">
        <f t="shared" si="7"/>
        <v>0</v>
      </c>
    </row>
    <row r="40" spans="1:13">
      <c r="B40" s="155" t="s">
        <v>108</v>
      </c>
      <c r="C40" s="20"/>
      <c r="D40" s="20">
        <f>EXPENSE!C374</f>
        <v>140037.40000000002</v>
      </c>
      <c r="E40" s="20">
        <f>EXPENSE!D374</f>
        <v>121043.47000000002</v>
      </c>
      <c r="F40" s="20">
        <f>EXPENSE!E374</f>
        <v>111959.58</v>
      </c>
      <c r="G40" s="20">
        <f>EXPENSE!G374</f>
        <v>103914.03</v>
      </c>
      <c r="H40" s="20">
        <f>EXPENSE!H374</f>
        <v>0</v>
      </c>
      <c r="I40" s="20"/>
      <c r="J40" s="20">
        <f>EXPENSE!J374</f>
        <v>123708.9716</v>
      </c>
      <c r="K40" s="20"/>
      <c r="L40" s="20">
        <f>EXPENSE!L374</f>
        <v>132559.4976</v>
      </c>
      <c r="M40" s="21">
        <f t="shared" si="7"/>
        <v>8850.525999999998</v>
      </c>
    </row>
    <row r="41" spans="1:13">
      <c r="B41" s="155" t="s">
        <v>844</v>
      </c>
      <c r="C41" s="20"/>
      <c r="D41" s="20">
        <f>EXPENSE!C391</f>
        <v>0</v>
      </c>
      <c r="E41" s="20">
        <f>EXPENSE!D391</f>
        <v>-39258.239999999998</v>
      </c>
      <c r="F41" s="20">
        <f>EXPENSE!E391</f>
        <v>-41525.369999999995</v>
      </c>
      <c r="G41" s="20">
        <f>EXPENSE!G391</f>
        <v>-36147.61</v>
      </c>
      <c r="H41" s="20">
        <f>EXPENSE!H391</f>
        <v>0</v>
      </c>
      <c r="I41" s="20"/>
      <c r="J41" s="20">
        <f>EXPENSE!J391</f>
        <v>-26585</v>
      </c>
      <c r="K41" s="20"/>
      <c r="L41" s="20">
        <f>EXPENSE!L391</f>
        <v>-61615.630000000005</v>
      </c>
      <c r="M41" s="21">
        <f t="shared" si="7"/>
        <v>-35030.630000000005</v>
      </c>
    </row>
    <row r="42" spans="1:13">
      <c r="A42" s="22" t="s">
        <v>391</v>
      </c>
      <c r="B42" s="155" t="s">
        <v>891</v>
      </c>
      <c r="C42" s="20"/>
      <c r="D42" s="20">
        <f>EXPENSE!C396</f>
        <v>25432.29</v>
      </c>
      <c r="E42" s="20">
        <f>EXPENSE!D396</f>
        <v>26213.119999999999</v>
      </c>
      <c r="F42" s="20">
        <f>EXPENSE!E396</f>
        <v>0</v>
      </c>
      <c r="G42" s="20">
        <f>EXPENSE!G396</f>
        <v>20000</v>
      </c>
      <c r="H42" s="20">
        <f>EXPENSE!H396</f>
        <v>0</v>
      </c>
      <c r="I42" s="20"/>
      <c r="J42" s="20">
        <f>EXPENSE!J396</f>
        <v>35000</v>
      </c>
      <c r="K42" s="20"/>
      <c r="L42" s="20">
        <f>EXPENSE!L396</f>
        <v>35000</v>
      </c>
      <c r="M42" s="21">
        <f t="shared" si="7"/>
        <v>0</v>
      </c>
    </row>
    <row r="43" spans="1:13">
      <c r="B43" s="155" t="s">
        <v>109</v>
      </c>
      <c r="C43" s="20"/>
      <c r="D43" s="20">
        <f>EXPENSE!C416</f>
        <v>9164</v>
      </c>
      <c r="E43" s="20">
        <f>EXPENSE!D416</f>
        <v>70158.100000000006</v>
      </c>
      <c r="F43" s="20">
        <f>EXPENSE!E416</f>
        <v>102986.09999999999</v>
      </c>
      <c r="G43" s="20">
        <f>EXPENSE!G416</f>
        <v>92526.67</v>
      </c>
      <c r="H43" s="20">
        <f>EXPENSE!H416</f>
        <v>0</v>
      </c>
      <c r="I43" s="20"/>
      <c r="J43" s="20">
        <f>EXPENSE!J416</f>
        <v>244455.14</v>
      </c>
      <c r="K43" s="20"/>
      <c r="L43" s="20">
        <f>EXPENSE!L416</f>
        <v>294488.80000000005</v>
      </c>
      <c r="M43" s="21">
        <f t="shared" si="7"/>
        <v>50033.660000000033</v>
      </c>
    </row>
    <row r="44" spans="1:13">
      <c r="B44" s="155" t="s">
        <v>407</v>
      </c>
      <c r="C44" s="20"/>
      <c r="D44" s="20">
        <f>EXPENSE!C482</f>
        <v>50190.69</v>
      </c>
      <c r="E44" s="20">
        <f>EXPENSE!D482</f>
        <v>95012.750000000015</v>
      </c>
      <c r="F44" s="20">
        <f>EXPENSE!E482</f>
        <v>110107.34</v>
      </c>
      <c r="G44" s="20">
        <f>EXPENSE!G482</f>
        <v>117313.79999999997</v>
      </c>
      <c r="H44" s="20">
        <f>EXPENSE!H482</f>
        <v>0</v>
      </c>
      <c r="I44" s="20"/>
      <c r="J44" s="20">
        <f>EXPENSE!J482</f>
        <v>177509</v>
      </c>
      <c r="K44" s="20"/>
      <c r="L44" s="20">
        <f>EXPENSE!L482</f>
        <v>198637.48</v>
      </c>
      <c r="M44" s="21">
        <f t="shared" si="7"/>
        <v>21128.48000000001</v>
      </c>
    </row>
    <row r="45" spans="1:13">
      <c r="B45" s="155" t="s">
        <v>926</v>
      </c>
      <c r="C45" s="20"/>
      <c r="D45" s="20"/>
      <c r="E45" s="20"/>
      <c r="F45" s="20">
        <f>EXPENSE!E582</f>
        <v>844.93</v>
      </c>
      <c r="G45" s="20">
        <f>EXPENSE!G582</f>
        <v>0</v>
      </c>
      <c r="H45" s="20">
        <f>EXPENSE!H582</f>
        <v>0</v>
      </c>
      <c r="I45" s="20"/>
      <c r="J45" s="20">
        <f>EXPENSE!J582</f>
        <v>0</v>
      </c>
      <c r="K45" s="20"/>
      <c r="L45" s="20">
        <f>EXPENSE!L582</f>
        <v>0</v>
      </c>
      <c r="M45" s="21">
        <f t="shared" si="7"/>
        <v>0</v>
      </c>
    </row>
    <row r="46" spans="1:13">
      <c r="B46" s="155" t="s">
        <v>1039</v>
      </c>
      <c r="C46" s="20"/>
      <c r="D46" s="21"/>
      <c r="E46" s="21"/>
      <c r="F46" s="20"/>
      <c r="G46" s="21">
        <f>EXPENSE!G586</f>
        <v>0</v>
      </c>
      <c r="H46" s="21">
        <f>EXPENSE!H586</f>
        <v>0</v>
      </c>
      <c r="I46" s="21"/>
      <c r="J46" s="21">
        <f>EXPENSE!J586</f>
        <v>1526.88</v>
      </c>
      <c r="K46" s="21"/>
      <c r="L46" s="21">
        <f>EXPENSE!L586</f>
        <v>1526.88</v>
      </c>
      <c r="M46" s="21">
        <f>L46-J46</f>
        <v>0</v>
      </c>
    </row>
    <row r="47" spans="1:13">
      <c r="B47" s="155" t="s">
        <v>906</v>
      </c>
      <c r="C47" s="20"/>
      <c r="D47" s="20">
        <f>EXPENSE!C491</f>
        <v>640985.27</v>
      </c>
      <c r="E47" s="20">
        <f>EXPENSE!D491</f>
        <v>754083.55</v>
      </c>
      <c r="F47" s="20">
        <f>EXPENSE!E491</f>
        <v>691718.98999999987</v>
      </c>
      <c r="G47" s="20">
        <f>EXPENSE!G491</f>
        <v>527066.49000000011</v>
      </c>
      <c r="H47" s="20">
        <f>EXPENSE!H491</f>
        <v>0</v>
      </c>
      <c r="I47" s="20"/>
      <c r="J47" s="20">
        <f>EXPENSE!J491</f>
        <v>69678.039999999994</v>
      </c>
      <c r="K47" s="20"/>
      <c r="L47" s="20">
        <f>EXPENSE!L491</f>
        <v>333865.05000000005</v>
      </c>
      <c r="M47" s="21">
        <f t="shared" si="7"/>
        <v>264187.01000000007</v>
      </c>
    </row>
    <row r="48" spans="1:13">
      <c r="B48" s="155" t="s">
        <v>856</v>
      </c>
      <c r="C48" s="20"/>
      <c r="D48" s="20">
        <f>EXPENSE!C496</f>
        <v>281632.92</v>
      </c>
      <c r="E48" s="20">
        <f>EXPENSE!D496</f>
        <v>0</v>
      </c>
      <c r="F48" s="20">
        <f>EXPENSE!E496</f>
        <v>0</v>
      </c>
      <c r="G48" s="20">
        <f>EXPENSE!G496</f>
        <v>0</v>
      </c>
      <c r="H48" s="20">
        <f>EXPENSE!H496</f>
        <v>0</v>
      </c>
      <c r="I48" s="20"/>
      <c r="J48" s="20">
        <f>EXPENSE!J496</f>
        <v>0</v>
      </c>
      <c r="K48" s="20"/>
      <c r="L48" s="20">
        <f>EXPENSE!L496</f>
        <v>0</v>
      </c>
      <c r="M48" s="21">
        <f t="shared" si="7"/>
        <v>0</v>
      </c>
    </row>
    <row r="49" spans="2:13">
      <c r="B49" s="155" t="s">
        <v>195</v>
      </c>
      <c r="C49" s="20"/>
      <c r="D49" s="20">
        <f>EXPENSE!C502</f>
        <v>156997.34</v>
      </c>
      <c r="E49" s="20">
        <f>EXPENSE!D502</f>
        <v>90413</v>
      </c>
      <c r="F49" s="20">
        <f>EXPENSE!E502</f>
        <v>80452.66</v>
      </c>
      <c r="G49" s="20">
        <f>EXPENSE!G502</f>
        <v>67241.440000000002</v>
      </c>
      <c r="H49" s="20">
        <f>EXPENSE!H502</f>
        <v>0</v>
      </c>
      <c r="I49" s="20"/>
      <c r="J49" s="20">
        <f>EXPENSE!J502</f>
        <v>203561</v>
      </c>
      <c r="K49" s="20"/>
      <c r="L49" s="20">
        <f>EXPENSE!L502</f>
        <v>231587.67</v>
      </c>
      <c r="M49" s="21">
        <f t="shared" si="7"/>
        <v>28026.670000000013</v>
      </c>
    </row>
    <row r="50" spans="2:13">
      <c r="B50" s="155" t="s">
        <v>196</v>
      </c>
      <c r="C50" s="20"/>
      <c r="D50" s="20">
        <f>EXPENSE!C507</f>
        <v>0</v>
      </c>
      <c r="E50" s="20">
        <f>EXPENSE!D507</f>
        <v>15877.78</v>
      </c>
      <c r="F50" s="20">
        <f>EXPENSE!E507</f>
        <v>34063.11</v>
      </c>
      <c r="G50" s="20">
        <f>EXPENSE!G507</f>
        <v>8290.1299999999992</v>
      </c>
      <c r="H50" s="20">
        <f>EXPENSE!H507</f>
        <v>0</v>
      </c>
      <c r="I50" s="20"/>
      <c r="J50" s="20">
        <f>EXPENSE!J507</f>
        <v>65000</v>
      </c>
      <c r="K50" s="20"/>
      <c r="L50" s="20">
        <f>EXPENSE!L507</f>
        <v>55875.490000000005</v>
      </c>
      <c r="M50" s="21">
        <f t="shared" si="7"/>
        <v>-9124.5099999999948</v>
      </c>
    </row>
    <row r="51" spans="2:13">
      <c r="B51" s="155" t="s">
        <v>296</v>
      </c>
      <c r="C51" s="20"/>
      <c r="D51" s="20">
        <f>EXPENSE!C512</f>
        <v>0</v>
      </c>
      <c r="E51" s="20">
        <f>EXPENSE!D512</f>
        <v>8983.91</v>
      </c>
      <c r="F51" s="20">
        <f>EXPENSE!E512</f>
        <v>4548.4699999999993</v>
      </c>
      <c r="G51" s="20">
        <f>EXPENSE!G512</f>
        <v>4681</v>
      </c>
      <c r="H51" s="20">
        <f>EXPENSE!H512</f>
        <v>0</v>
      </c>
      <c r="I51" s="20"/>
      <c r="J51" s="20">
        <f>EXPENSE!J512</f>
        <v>27204.93</v>
      </c>
      <c r="K51" s="20"/>
      <c r="L51" s="20">
        <f>EXPENSE!L512</f>
        <v>29097.01</v>
      </c>
      <c r="M51" s="21">
        <f t="shared" si="7"/>
        <v>1892.0799999999981</v>
      </c>
    </row>
    <row r="52" spans="2:13">
      <c r="B52" s="155" t="s">
        <v>845</v>
      </c>
      <c r="C52" s="20"/>
      <c r="D52" s="20">
        <f>EXPENSE!C518</f>
        <v>0</v>
      </c>
      <c r="E52" s="20">
        <f>EXPENSE!D518</f>
        <v>0</v>
      </c>
      <c r="F52" s="20">
        <f>EXPENSE!E518</f>
        <v>0</v>
      </c>
      <c r="G52" s="20">
        <f>EXPENSE!G518</f>
        <v>0</v>
      </c>
      <c r="H52" s="20">
        <f>EXPENSE!H518</f>
        <v>0</v>
      </c>
      <c r="I52" s="20"/>
      <c r="J52" s="20">
        <f>EXPENSE!J518</f>
        <v>0</v>
      </c>
      <c r="K52" s="20"/>
      <c r="L52" s="20">
        <f>EXPENSE!L518</f>
        <v>0</v>
      </c>
      <c r="M52" s="21">
        <f t="shared" si="7"/>
        <v>0</v>
      </c>
    </row>
    <row r="53" spans="2:13">
      <c r="B53" s="155" t="s">
        <v>29</v>
      </c>
      <c r="C53" s="20"/>
      <c r="D53" s="20">
        <f>EXPENSE!C525</f>
        <v>0</v>
      </c>
      <c r="E53" s="20">
        <f>EXPENSE!D525</f>
        <v>9948.7099999999991</v>
      </c>
      <c r="F53" s="20">
        <f>EXPENSE!E525</f>
        <v>4519.9699999999993</v>
      </c>
      <c r="G53" s="20">
        <f>EXPENSE!G525</f>
        <v>5001.0600000000004</v>
      </c>
      <c r="H53" s="20">
        <f>EXPENSE!H525</f>
        <v>0</v>
      </c>
      <c r="I53" s="20"/>
      <c r="J53" s="20">
        <f>EXPENSE!J525</f>
        <v>6548</v>
      </c>
      <c r="K53" s="20"/>
      <c r="L53" s="20">
        <f>EXPENSE!L525</f>
        <v>10746.26</v>
      </c>
      <c r="M53" s="21">
        <f t="shared" si="7"/>
        <v>4198.26</v>
      </c>
    </row>
    <row r="54" spans="2:13">
      <c r="B54" s="10" t="s">
        <v>295</v>
      </c>
      <c r="C54" s="20"/>
      <c r="D54" s="20">
        <f>EXPENSE!C529</f>
        <v>0</v>
      </c>
      <c r="E54" s="20">
        <f>EXPENSE!D529</f>
        <v>0</v>
      </c>
      <c r="F54" s="20">
        <f>EXPENSE!E529</f>
        <v>1541.79</v>
      </c>
      <c r="G54" s="20">
        <f>EXPENSE!G529</f>
        <v>0</v>
      </c>
      <c r="H54" s="20">
        <f>EXPENSE!H529</f>
        <v>0</v>
      </c>
      <c r="I54" s="20"/>
      <c r="J54" s="20">
        <f>EXPENSE!J529</f>
        <v>0</v>
      </c>
      <c r="K54" s="20"/>
      <c r="L54" s="20">
        <f>EXPENSE!L529</f>
        <v>0</v>
      </c>
      <c r="M54" s="21">
        <f t="shared" si="7"/>
        <v>0</v>
      </c>
    </row>
    <row r="55" spans="2:13">
      <c r="B55" s="22" t="s">
        <v>294</v>
      </c>
      <c r="C55" s="155"/>
      <c r="D55" s="20">
        <f>EXPENSE!C536</f>
        <v>0</v>
      </c>
      <c r="E55" s="20">
        <f>EXPENSE!D536</f>
        <v>6486.4800000000005</v>
      </c>
      <c r="F55" s="20">
        <f>EXPENSE!E536</f>
        <v>0</v>
      </c>
      <c r="G55" s="20">
        <f>EXPENSE!G536</f>
        <v>0</v>
      </c>
      <c r="H55" s="20">
        <f>EXPENSE!H536</f>
        <v>0</v>
      </c>
      <c r="I55" s="20"/>
      <c r="J55" s="20">
        <f>EXPENSE!J536</f>
        <v>0</v>
      </c>
      <c r="K55" s="20"/>
      <c r="L55" s="20">
        <f>EXPENSE!L536</f>
        <v>0</v>
      </c>
      <c r="M55" s="21">
        <f t="shared" si="7"/>
        <v>0</v>
      </c>
    </row>
    <row r="56" spans="2:13">
      <c r="B56" s="155" t="s">
        <v>1219</v>
      </c>
      <c r="C56" s="20"/>
      <c r="D56" s="21"/>
      <c r="E56" s="21"/>
      <c r="F56" s="20"/>
      <c r="G56" s="21">
        <f>EXPENSE!G578</f>
        <v>17533.86</v>
      </c>
      <c r="H56" s="21">
        <f>EXPENSE!H578</f>
        <v>0</v>
      </c>
      <c r="I56" s="21"/>
      <c r="J56" s="21">
        <f>EXPENSE!J578</f>
        <v>0</v>
      </c>
      <c r="K56" s="21"/>
      <c r="L56" s="21">
        <f>EXPENSE!L578</f>
        <v>4610.1400000000003</v>
      </c>
      <c r="M56" s="21">
        <f t="shared" si="7"/>
        <v>4610.1400000000003</v>
      </c>
    </row>
    <row r="57" spans="2:13">
      <c r="B57" s="379" t="s">
        <v>1180</v>
      </c>
      <c r="C57" s="20"/>
      <c r="D57" s="21"/>
      <c r="E57" s="21"/>
      <c r="F57" s="20"/>
      <c r="G57" s="21">
        <f>EXPENSE!G554</f>
        <v>86836.859999999986</v>
      </c>
      <c r="H57" s="21">
        <f>EXPENSE!H554</f>
        <v>0</v>
      </c>
      <c r="I57" s="21"/>
      <c r="J57" s="21">
        <f>EXPENSE!J554</f>
        <v>0</v>
      </c>
      <c r="K57" s="21"/>
      <c r="L57" s="21">
        <f>EXPENSE!L554</f>
        <v>3460.5299999999997</v>
      </c>
      <c r="M57" s="21">
        <f t="shared" si="7"/>
        <v>3460.5299999999997</v>
      </c>
    </row>
    <row r="58" spans="2:13">
      <c r="B58" s="379" t="s">
        <v>1360</v>
      </c>
      <c r="C58" s="20"/>
      <c r="D58" s="21"/>
      <c r="E58" s="21"/>
      <c r="F58" s="20"/>
      <c r="G58" s="21"/>
      <c r="H58" s="21"/>
      <c r="I58" s="21"/>
      <c r="J58" s="21">
        <f>EXPENSE!J564</f>
        <v>239936</v>
      </c>
      <c r="K58" s="21"/>
      <c r="L58" s="21">
        <f>EXPENSE!L564</f>
        <v>533317</v>
      </c>
      <c r="M58" s="21">
        <f t="shared" si="7"/>
        <v>293381</v>
      </c>
    </row>
    <row r="59" spans="2:13">
      <c r="B59" s="379" t="s">
        <v>1363</v>
      </c>
      <c r="C59" s="20"/>
      <c r="D59" s="21"/>
      <c r="E59" s="21"/>
      <c r="F59" s="20"/>
      <c r="G59" s="21"/>
      <c r="H59" s="21"/>
      <c r="I59" s="21"/>
      <c r="J59" s="21">
        <f>EXPENSE!J569</f>
        <v>0</v>
      </c>
      <c r="K59" s="21"/>
      <c r="L59" s="21">
        <f>EXPENSE!L569</f>
        <v>1196350</v>
      </c>
      <c r="M59" s="21">
        <f t="shared" si="7"/>
        <v>1196350</v>
      </c>
    </row>
    <row r="60" spans="2:13">
      <c r="B60" s="379" t="s">
        <v>1294</v>
      </c>
      <c r="C60" s="20"/>
      <c r="D60" s="21"/>
      <c r="E60" s="21"/>
      <c r="F60" s="20"/>
      <c r="G60" s="21">
        <f>EXPENSE!G573</f>
        <v>98196.5</v>
      </c>
      <c r="H60" s="21">
        <f>EXPENSE!H573</f>
        <v>0</v>
      </c>
      <c r="I60" s="21"/>
      <c r="J60" s="21">
        <f>EXPENSE!J573</f>
        <v>0</v>
      </c>
      <c r="K60" s="21"/>
      <c r="L60" s="21">
        <f>EXPENSE!L573</f>
        <v>0</v>
      </c>
      <c r="M60" s="21">
        <f t="shared" si="7"/>
        <v>0</v>
      </c>
    </row>
    <row r="61" spans="2:13">
      <c r="B61" s="379" t="s">
        <v>1295</v>
      </c>
      <c r="C61" s="20"/>
      <c r="D61" s="21"/>
      <c r="E61" s="21"/>
      <c r="F61" s="20"/>
      <c r="G61" s="21">
        <f>EXPENSE!G590</f>
        <v>3478.97</v>
      </c>
      <c r="H61" s="21">
        <f>EXPENSE!H590</f>
        <v>0</v>
      </c>
      <c r="I61" s="21"/>
      <c r="J61" s="21">
        <f>EXPENSE!J590</f>
        <v>0</v>
      </c>
      <c r="K61" s="21"/>
      <c r="L61" s="21">
        <f>EXPENSE!L590</f>
        <v>0</v>
      </c>
      <c r="M61" s="21">
        <f t="shared" si="7"/>
        <v>0</v>
      </c>
    </row>
    <row r="62" spans="2:13">
      <c r="B62" s="379" t="s">
        <v>1298</v>
      </c>
      <c r="C62" s="20"/>
      <c r="D62" s="21"/>
      <c r="E62" s="21"/>
      <c r="F62" s="20"/>
      <c r="G62" s="21">
        <f>EXPENSE!G594</f>
        <v>500</v>
      </c>
      <c r="H62" s="21">
        <f>EXPENSE!H594</f>
        <v>0</v>
      </c>
      <c r="I62" s="21"/>
      <c r="J62" s="21">
        <f>EXPENSE!J594</f>
        <v>0</v>
      </c>
      <c r="K62" s="21"/>
      <c r="L62" s="21">
        <f>EXPENSE!L594</f>
        <v>500</v>
      </c>
      <c r="M62" s="21">
        <f t="shared" si="7"/>
        <v>500</v>
      </c>
    </row>
    <row r="63" spans="2:13">
      <c r="B63" s="154" t="s">
        <v>1296</v>
      </c>
      <c r="C63" s="154"/>
      <c r="D63" s="23"/>
      <c r="E63" s="23"/>
      <c r="G63" s="21">
        <f>EXPENSE!G598</f>
        <v>2940</v>
      </c>
      <c r="H63" s="21">
        <f>EXPENSE!H598</f>
        <v>0</v>
      </c>
      <c r="I63" s="21"/>
      <c r="J63" s="21">
        <f>EXPENSE!J598</f>
        <v>0</v>
      </c>
      <c r="K63" s="21"/>
      <c r="L63" s="21">
        <f>EXPENSE!L598</f>
        <v>0</v>
      </c>
      <c r="M63" s="21">
        <f t="shared" si="7"/>
        <v>0</v>
      </c>
    </row>
    <row r="64" spans="2:13">
      <c r="B64" s="154" t="s">
        <v>1304</v>
      </c>
      <c r="C64" s="154"/>
      <c r="D64" s="23"/>
      <c r="E64" s="23"/>
      <c r="G64" s="21">
        <f>EXPENSE!G602</f>
        <v>14886.3</v>
      </c>
      <c r="H64" s="21">
        <f>EXPENSE!H602</f>
        <v>0</v>
      </c>
      <c r="I64" s="21"/>
      <c r="J64" s="21">
        <f>EXPENSE!J602</f>
        <v>0</v>
      </c>
      <c r="K64" s="21"/>
      <c r="L64" s="21">
        <f>EXPENSE!L602</f>
        <v>0</v>
      </c>
      <c r="M64" s="21">
        <f t="shared" si="7"/>
        <v>0</v>
      </c>
    </row>
    <row r="65" spans="1:15">
      <c r="B65" s="22" t="s">
        <v>1421</v>
      </c>
      <c r="G65" s="21">
        <f>EXPENSE!G606</f>
        <v>997.83</v>
      </c>
      <c r="H65" s="21">
        <f>EXPENSE!H603</f>
        <v>0</v>
      </c>
      <c r="I65" s="21"/>
      <c r="J65" s="21">
        <f>EXPENSE!J603</f>
        <v>0</v>
      </c>
      <c r="K65" s="21"/>
      <c r="L65" s="21">
        <f>EXPENSE!L603</f>
        <v>0</v>
      </c>
      <c r="M65" s="21">
        <f t="shared" si="7"/>
        <v>0</v>
      </c>
    </row>
    <row r="66" spans="1:15" ht="13.5" thickBot="1">
      <c r="D66" s="470"/>
      <c r="E66" s="470"/>
      <c r="F66" s="471"/>
      <c r="G66" s="470"/>
      <c r="H66" s="470"/>
      <c r="I66" s="470"/>
      <c r="J66" s="470"/>
      <c r="K66" s="470"/>
      <c r="L66" s="470"/>
      <c r="M66" s="470"/>
    </row>
    <row r="67" spans="1:15">
      <c r="D67" s="23"/>
      <c r="E67" s="23"/>
      <c r="G67" s="23"/>
      <c r="H67" s="23"/>
      <c r="I67" s="23"/>
      <c r="J67" s="23"/>
      <c r="K67" s="23"/>
      <c r="L67" s="23"/>
      <c r="M67" s="23"/>
    </row>
    <row r="68" spans="1:15">
      <c r="B68" s="22" t="s">
        <v>100</v>
      </c>
      <c r="D68" s="21">
        <f>SUM(D22:D63)</f>
        <v>3520089.4149999996</v>
      </c>
      <c r="E68" s="21">
        <f>SUM(E22:E66)</f>
        <v>3385232.3770000003</v>
      </c>
      <c r="F68" s="21">
        <f>SUM(F22:F66)</f>
        <v>3425156.8800000004</v>
      </c>
      <c r="G68" s="21">
        <f>SUM(G22:G66)</f>
        <v>3537831.213</v>
      </c>
      <c r="H68" s="21"/>
      <c r="I68" s="21"/>
      <c r="J68" s="21">
        <f>SUM(J22:J66)</f>
        <v>3896813.25581</v>
      </c>
      <c r="K68" s="21"/>
      <c r="L68" s="21">
        <f>SUM(L22:L66)</f>
        <v>5612428.0584219992</v>
      </c>
      <c r="M68" s="21">
        <f>SUM(M22:M66)</f>
        <v>1715614.8026120001</v>
      </c>
    </row>
    <row r="69" spans="1:15">
      <c r="D69" s="21"/>
      <c r="E69" s="21"/>
      <c r="F69" s="20"/>
      <c r="G69" s="21"/>
      <c r="H69" s="21"/>
      <c r="I69" s="21"/>
      <c r="J69" s="21"/>
      <c r="K69" s="21"/>
      <c r="L69" s="21"/>
      <c r="M69" s="21"/>
    </row>
    <row r="70" spans="1:15">
      <c r="A70" s="22" t="s">
        <v>101</v>
      </c>
      <c r="D70" s="24">
        <f>D19-D68</f>
        <v>51845.805000000633</v>
      </c>
      <c r="E70" s="24">
        <f>E19-E68</f>
        <v>88002.152999999467</v>
      </c>
      <c r="F70" s="408">
        <f>F19-F68</f>
        <v>244375.83000000007</v>
      </c>
      <c r="G70" s="24">
        <f>G19-G68</f>
        <v>248303.17700000014</v>
      </c>
      <c r="H70" s="24"/>
      <c r="I70" s="24"/>
      <c r="J70" s="24">
        <f>J19-J68</f>
        <v>-138628.27300572023</v>
      </c>
      <c r="K70" s="24"/>
      <c r="L70" s="24">
        <f>L19-L68</f>
        <v>151449.65157800075</v>
      </c>
      <c r="M70" s="24">
        <f>M19-M68</f>
        <v>290077.92458372004</v>
      </c>
    </row>
    <row r="71" spans="1:15">
      <c r="D71" s="23"/>
      <c r="E71" s="23"/>
      <c r="G71" s="23"/>
      <c r="H71" s="23"/>
      <c r="I71" s="23"/>
      <c r="J71" s="23"/>
      <c r="K71" s="23"/>
      <c r="L71" s="23"/>
      <c r="M71" s="23"/>
    </row>
    <row r="72" spans="1:15" ht="13.5" thickBot="1">
      <c r="A72" s="22" t="s">
        <v>102</v>
      </c>
      <c r="D72" s="409">
        <f>D9+D70-3</f>
        <v>228788.62500000064</v>
      </c>
      <c r="E72" s="409">
        <f>E9+E70+1</f>
        <v>316791.77800000011</v>
      </c>
      <c r="F72" s="409">
        <f>F9+F70</f>
        <v>561167.60800000024</v>
      </c>
      <c r="G72" s="25">
        <f>G9+G70</f>
        <v>809470.78500000038</v>
      </c>
      <c r="H72" s="25"/>
      <c r="I72" s="25"/>
      <c r="J72" s="25">
        <f>J9+J70</f>
        <v>463207.72699427977</v>
      </c>
      <c r="K72" s="25"/>
      <c r="L72" s="25">
        <f>L9+L70</f>
        <v>960920.44157800078</v>
      </c>
      <c r="M72" s="25">
        <f>M9+M70</f>
        <v>497712.71458372008</v>
      </c>
    </row>
    <row r="73" spans="1:15" ht="13.5" thickTop="1">
      <c r="D73" s="20"/>
      <c r="E73" s="20"/>
      <c r="F73" s="20"/>
      <c r="G73" s="20"/>
      <c r="H73" s="20"/>
      <c r="I73" s="20"/>
      <c r="J73" s="20"/>
      <c r="K73" s="20"/>
      <c r="L73" s="20"/>
    </row>
    <row r="74" spans="1:15">
      <c r="A74" s="22" t="s">
        <v>103</v>
      </c>
      <c r="D74" s="26">
        <f t="shared" ref="D74:G74" si="8">D72/D68</f>
        <v>6.4995117460674129E-2</v>
      </c>
      <c r="E74" s="26">
        <f t="shared" si="8"/>
        <v>9.3580511681369896E-2</v>
      </c>
      <c r="F74" s="26">
        <f t="shared" si="8"/>
        <v>0.16383705262574721</v>
      </c>
      <c r="G74" s="26">
        <f t="shared" si="8"/>
        <v>0.22880424086529205</v>
      </c>
      <c r="H74" s="26"/>
      <c r="I74" s="26"/>
      <c r="J74" s="26">
        <f t="shared" ref="J74" si="9">J72/J68</f>
        <v>0.11886834102292551</v>
      </c>
      <c r="K74" s="26"/>
      <c r="L74" s="26">
        <f t="shared" ref="L74" si="10">L72/L68</f>
        <v>0.17121296372539607</v>
      </c>
      <c r="O74" s="21"/>
    </row>
    <row r="75" spans="1:15" ht="15.75">
      <c r="B75" s="195"/>
    </row>
    <row r="76" spans="1:15" ht="15.75" hidden="1">
      <c r="B76" s="195"/>
      <c r="D76" s="22">
        <v>228789</v>
      </c>
      <c r="E76" s="520"/>
      <c r="G76" s="521"/>
      <c r="H76" s="521"/>
      <c r="I76" s="521"/>
      <c r="J76" s="521"/>
      <c r="K76" s="521"/>
      <c r="L76" s="521"/>
      <c r="O76" s="397"/>
    </row>
    <row r="77" spans="1:15" ht="15.75" hidden="1">
      <c r="B77" s="195"/>
    </row>
    <row r="78" spans="1:15" ht="15.75" hidden="1">
      <c r="B78" s="195"/>
      <c r="D78" s="243">
        <f>D72-D76</f>
        <v>-0.37499999935971573</v>
      </c>
      <c r="E78" s="243"/>
      <c r="G78" s="243"/>
      <c r="H78" s="243"/>
      <c r="I78" s="243"/>
      <c r="J78" s="243"/>
      <c r="K78" s="243"/>
      <c r="L78" s="243"/>
    </row>
    <row r="79" spans="1:15" hidden="1">
      <c r="B79" s="294" t="s">
        <v>258</v>
      </c>
    </row>
    <row r="80" spans="1:15" hidden="1">
      <c r="B80" s="295" t="s">
        <v>1462</v>
      </c>
      <c r="J80" s="23"/>
      <c r="K80" s="23"/>
      <c r="L80" s="23"/>
    </row>
    <row r="81" spans="2:2" hidden="1">
      <c r="B81" s="295" t="s">
        <v>1483</v>
      </c>
    </row>
    <row r="82" spans="2:2" hidden="1">
      <c r="B82" s="295" t="s">
        <v>1464</v>
      </c>
    </row>
    <row r="83" spans="2:2" hidden="1">
      <c r="B83" s="295" t="s">
        <v>1463</v>
      </c>
    </row>
    <row r="84" spans="2:2" hidden="1">
      <c r="B84" s="295" t="s">
        <v>1482</v>
      </c>
    </row>
    <row r="85" spans="2:2" hidden="1">
      <c r="B85" s="295" t="s">
        <v>1481</v>
      </c>
    </row>
    <row r="86" spans="2:2" hidden="1">
      <c r="B86" s="295" t="s">
        <v>1465</v>
      </c>
    </row>
    <row r="87" spans="2:2" hidden="1">
      <c r="B87" s="295"/>
    </row>
    <row r="88" spans="2:2" hidden="1">
      <c r="B88" s="295" t="s">
        <v>1477</v>
      </c>
    </row>
    <row r="89" spans="2:2" hidden="1">
      <c r="B89" s="295" t="s">
        <v>1476</v>
      </c>
    </row>
    <row r="90" spans="2:2" hidden="1">
      <c r="B90" s="295"/>
    </row>
    <row r="91" spans="2:2" hidden="1">
      <c r="B91" s="296" t="s">
        <v>1466</v>
      </c>
    </row>
    <row r="92" spans="2:2" hidden="1">
      <c r="B92" s="295" t="s">
        <v>1467</v>
      </c>
    </row>
    <row r="93" spans="2:2" hidden="1">
      <c r="B93" s="295" t="s">
        <v>1468</v>
      </c>
    </row>
    <row r="94" spans="2:2" hidden="1">
      <c r="B94" s="295" t="s">
        <v>1472</v>
      </c>
    </row>
    <row r="95" spans="2:2" hidden="1">
      <c r="B95" s="295" t="s">
        <v>1469</v>
      </c>
    </row>
    <row r="96" spans="2:2" hidden="1">
      <c r="B96" s="295" t="s">
        <v>1470</v>
      </c>
    </row>
    <row r="97" spans="2:2" hidden="1">
      <c r="B97" s="295" t="s">
        <v>1471</v>
      </c>
    </row>
    <row r="98" spans="2:2" hidden="1">
      <c r="B98" s="295" t="s">
        <v>1475</v>
      </c>
    </row>
    <row r="99" spans="2:2" hidden="1">
      <c r="B99" s="295" t="s">
        <v>1473</v>
      </c>
    </row>
    <row r="100" spans="2:2" hidden="1">
      <c r="B100" s="295" t="s">
        <v>1474</v>
      </c>
    </row>
    <row r="101" spans="2:2" ht="15.75" hidden="1">
      <c r="B101" s="195"/>
    </row>
    <row r="102" spans="2:2" ht="15.75" hidden="1">
      <c r="B102" s="195"/>
    </row>
    <row r="103" spans="2:2" ht="15.75" hidden="1">
      <c r="B103" s="195"/>
    </row>
  </sheetData>
  <mergeCells count="5">
    <mergeCell ref="A1:N1"/>
    <mergeCell ref="A2:N2"/>
    <mergeCell ref="A4:N4"/>
    <mergeCell ref="A3:N3"/>
    <mergeCell ref="A5:N5"/>
  </mergeCells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6"/>
  <sheetViews>
    <sheetView zoomScale="115" zoomScaleNormal="115" zoomScaleSheetLayoutView="100" workbookViewId="0">
      <pane xSplit="2" ySplit="8" topLeftCell="D27" activePane="bottomRight" state="frozen"/>
      <selection activeCell="M22" sqref="M22"/>
      <selection pane="topRight" activeCell="M22" sqref="M22"/>
      <selection pane="bottomLeft" activeCell="M22" sqref="M22"/>
      <selection pane="bottomRight" activeCell="A3" sqref="A3:K3"/>
    </sheetView>
  </sheetViews>
  <sheetFormatPr defaultColWidth="9.140625" defaultRowHeight="12" customHeight="1"/>
  <cols>
    <col min="1" max="1" width="10.140625" style="5" customWidth="1"/>
    <col min="2" max="2" width="45.5703125" style="1" bestFit="1" customWidth="1"/>
    <col min="3" max="3" width="12.85546875" style="242" hidden="1" customWidth="1"/>
    <col min="4" max="4" width="12.42578125" style="275" customWidth="1"/>
    <col min="5" max="5" width="11.28515625" style="385" customWidth="1"/>
    <col min="6" max="6" width="12.5703125" style="275" bestFit="1" customWidth="1"/>
    <col min="7" max="7" width="1" style="13" customWidth="1"/>
    <col min="8" max="8" width="12.5703125" style="13" customWidth="1"/>
    <col min="9" max="9" width="2.28515625" style="13" customWidth="1"/>
    <col min="10" max="10" width="12.5703125" style="13" customWidth="1"/>
    <col min="11" max="11" width="11.28515625" style="1" customWidth="1"/>
    <col min="12" max="12" width="25.28515625" style="1" hidden="1" customWidth="1"/>
    <col min="13" max="13" width="15.5703125" style="1" bestFit="1" customWidth="1"/>
    <col min="14" max="14" width="13.140625" style="1" bestFit="1" customWidth="1"/>
    <col min="15" max="16384" width="9.140625" style="1"/>
  </cols>
  <sheetData>
    <row r="1" spans="1:14" ht="12" customHeight="1">
      <c r="A1" s="534" t="str">
        <f>Summary!A1</f>
        <v>LITCHFIELD COMMUNITY SCHOOLS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4" ht="12" customHeight="1">
      <c r="A2" s="534" t="str">
        <f>Summary!A3</f>
        <v>General Education Fund Budget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4" ht="12" customHeight="1">
      <c r="A3" s="534" t="s">
        <v>258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</row>
    <row r="4" spans="1:14" ht="12" customHeight="1">
      <c r="A4" s="534" t="s">
        <v>1337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</row>
    <row r="5" spans="1:14" ht="12" customHeight="1">
      <c r="A5" s="537" t="str">
        <f>Summary!A5</f>
        <v>AMENDED 4/26/2022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14" ht="7.5" customHeight="1">
      <c r="A6" s="161"/>
      <c r="B6" s="135"/>
      <c r="C6" s="236"/>
    </row>
    <row r="7" spans="1:14" ht="66.75" customHeight="1" thickBot="1">
      <c r="A7" s="14" t="s">
        <v>30</v>
      </c>
      <c r="B7" s="15" t="s">
        <v>32</v>
      </c>
      <c r="C7" s="237" t="str">
        <f>Summary!D7</f>
        <v>2017/2018 Actual</v>
      </c>
      <c r="D7" s="276" t="str">
        <f>Summary!E7</f>
        <v>2018/2019 Actual</v>
      </c>
      <c r="E7" s="386" t="str">
        <f>Summary!F7</f>
        <v>2019/2020 Actual</v>
      </c>
      <c r="F7" s="276" t="str">
        <f>Summary!G7</f>
        <v>2020/2021 Actual</v>
      </c>
      <c r="G7" s="163"/>
      <c r="H7" s="163" t="str">
        <f>Summary!J7</f>
        <v xml:space="preserve">2021-2022 Approved Budget </v>
      </c>
      <c r="I7" s="163">
        <f>Summary!K7</f>
        <v>0</v>
      </c>
      <c r="J7" s="163" t="str">
        <f>Summary!L7</f>
        <v xml:space="preserve">2021-2022 Amended Budget </v>
      </c>
      <c r="K7" s="163" t="str">
        <f>Summary!M7</f>
        <v>Difference between      2021-2021 and              Amended 2021-2022</v>
      </c>
      <c r="L7" s="163">
        <f>Summary!N7</f>
        <v>0</v>
      </c>
    </row>
    <row r="8" spans="1:14" ht="12" customHeight="1">
      <c r="A8" s="162"/>
      <c r="B8" s="17"/>
      <c r="C8" s="238"/>
    </row>
    <row r="9" spans="1:14" ht="12" customHeight="1">
      <c r="A9" s="200" t="s">
        <v>841</v>
      </c>
      <c r="B9" s="201" t="s">
        <v>842</v>
      </c>
      <c r="C9" s="239"/>
      <c r="D9" s="277">
        <v>14852.86</v>
      </c>
      <c r="E9" s="387">
        <v>16804.79</v>
      </c>
      <c r="F9" s="277">
        <v>16882.060000000001</v>
      </c>
      <c r="G9" s="202"/>
      <c r="H9" s="202">
        <v>10000</v>
      </c>
      <c r="I9" s="202"/>
      <c r="J9" s="202">
        <v>16272</v>
      </c>
      <c r="K9" s="203">
        <f>J9-H9</f>
        <v>6272</v>
      </c>
      <c r="M9" s="275"/>
    </row>
    <row r="10" spans="1:14" ht="12" customHeight="1">
      <c r="A10" s="200" t="s">
        <v>304</v>
      </c>
      <c r="B10" s="201" t="s">
        <v>305</v>
      </c>
      <c r="C10" s="239">
        <v>84994.52</v>
      </c>
      <c r="D10" s="277">
        <v>88571.67</v>
      </c>
      <c r="E10" s="387">
        <v>88795.37</v>
      </c>
      <c r="F10" s="277">
        <v>101545.82</v>
      </c>
      <c r="G10" s="202"/>
      <c r="H10" s="202">
        <v>102565</v>
      </c>
      <c r="I10" s="202"/>
      <c r="J10" s="202">
        <v>106112.5</v>
      </c>
      <c r="K10" s="203">
        <f t="shared" ref="K10:K17" si="0">J10-H10</f>
        <v>3547.5</v>
      </c>
      <c r="M10" s="275"/>
      <c r="N10" s="275"/>
    </row>
    <row r="11" spans="1:14" ht="12" customHeight="1">
      <c r="A11" s="200" t="s">
        <v>306</v>
      </c>
      <c r="B11" s="201" t="s">
        <v>307</v>
      </c>
      <c r="C11" s="239">
        <v>16182.27</v>
      </c>
      <c r="D11" s="277">
        <v>17234.39</v>
      </c>
      <c r="E11" s="387">
        <v>17840.2</v>
      </c>
      <c r="F11" s="277">
        <v>18588.87</v>
      </c>
      <c r="G11" s="202"/>
      <c r="H11" s="202">
        <v>18310</v>
      </c>
      <c r="I11" s="202"/>
      <c r="J11" s="202">
        <f>18050.35+25.31</f>
        <v>18075.66</v>
      </c>
      <c r="K11" s="203">
        <f t="shared" si="0"/>
        <v>-234.34000000000015</v>
      </c>
      <c r="M11" s="275"/>
      <c r="N11" s="275"/>
    </row>
    <row r="12" spans="1:14" ht="12" customHeight="1">
      <c r="A12" s="200" t="s">
        <v>308</v>
      </c>
      <c r="B12" s="201" t="s">
        <v>309</v>
      </c>
      <c r="C12" s="239">
        <v>12313.4</v>
      </c>
      <c r="D12" s="277">
        <v>10854.58</v>
      </c>
      <c r="E12" s="387">
        <v>11849.28</v>
      </c>
      <c r="F12" s="277">
        <v>51153.95</v>
      </c>
      <c r="G12" s="202"/>
      <c r="H12" s="202">
        <v>51510</v>
      </c>
      <c r="I12" s="202"/>
      <c r="J12" s="202">
        <f>49718.82+69.7</f>
        <v>49788.52</v>
      </c>
      <c r="K12" s="203">
        <f t="shared" si="0"/>
        <v>-1721.4800000000032</v>
      </c>
      <c r="M12" s="275"/>
      <c r="N12" s="275"/>
    </row>
    <row r="13" spans="1:14" ht="12" customHeight="1">
      <c r="A13" s="200" t="s">
        <v>310</v>
      </c>
      <c r="B13" s="201" t="s">
        <v>311</v>
      </c>
      <c r="C13" s="239">
        <v>2853.41</v>
      </c>
      <c r="D13" s="277">
        <v>2445.23</v>
      </c>
      <c r="E13" s="387">
        <v>764.46</v>
      </c>
      <c r="F13" s="277">
        <v>1530.19</v>
      </c>
      <c r="G13" s="202"/>
      <c r="H13" s="202">
        <v>1530</v>
      </c>
      <c r="I13" s="202"/>
      <c r="J13" s="202">
        <v>11035</v>
      </c>
      <c r="K13" s="203">
        <f t="shared" si="0"/>
        <v>9505</v>
      </c>
      <c r="M13" s="275"/>
    </row>
    <row r="14" spans="1:14" ht="12" customHeight="1">
      <c r="A14" s="200" t="s">
        <v>312</v>
      </c>
      <c r="B14" s="201" t="s">
        <v>313</v>
      </c>
      <c r="C14" s="239">
        <v>4684.13</v>
      </c>
      <c r="D14" s="277">
        <v>4213.49</v>
      </c>
      <c r="E14" s="387">
        <v>5439.23</v>
      </c>
      <c r="F14" s="277">
        <v>6852.77</v>
      </c>
      <c r="G14" s="202"/>
      <c r="H14" s="202">
        <v>6925</v>
      </c>
      <c r="I14" s="202"/>
      <c r="J14" s="202">
        <f>11197.85+15.7</f>
        <v>11213.550000000001</v>
      </c>
      <c r="K14" s="203">
        <f t="shared" si="0"/>
        <v>4288.5500000000011</v>
      </c>
      <c r="M14" s="275"/>
      <c r="N14" s="275"/>
    </row>
    <row r="15" spans="1:14" ht="12" customHeight="1">
      <c r="A15" s="200" t="s">
        <v>314</v>
      </c>
      <c r="B15" s="201" t="s">
        <v>315</v>
      </c>
      <c r="C15" s="239">
        <v>31055.33</v>
      </c>
      <c r="D15" s="277">
        <v>33418.480000000003</v>
      </c>
      <c r="E15" s="387">
        <v>39757.019999999997</v>
      </c>
      <c r="F15" s="277">
        <v>40255.660000000003</v>
      </c>
      <c r="G15" s="202"/>
      <c r="H15" s="202">
        <v>40640</v>
      </c>
      <c r="I15" s="202"/>
      <c r="J15" s="202">
        <f>41977.6+58.85</f>
        <v>42036.45</v>
      </c>
      <c r="K15" s="203">
        <f t="shared" si="0"/>
        <v>1396.4499999999971</v>
      </c>
      <c r="M15" s="275"/>
      <c r="N15" s="275"/>
    </row>
    <row r="16" spans="1:14" ht="12" customHeight="1">
      <c r="A16" s="200" t="s">
        <v>316</v>
      </c>
      <c r="B16" s="201" t="s">
        <v>317</v>
      </c>
      <c r="C16" s="239">
        <v>35276.01</v>
      </c>
      <c r="D16" s="277">
        <v>37180.080000000002</v>
      </c>
      <c r="E16" s="387">
        <v>34975.599999999999</v>
      </c>
      <c r="F16" s="277">
        <v>39161.14</v>
      </c>
      <c r="G16" s="202"/>
      <c r="H16" s="202">
        <v>39555</v>
      </c>
      <c r="I16" s="202"/>
      <c r="J16" s="202">
        <v>39900</v>
      </c>
      <c r="K16" s="203">
        <f t="shared" si="0"/>
        <v>345</v>
      </c>
      <c r="M16" s="275"/>
      <c r="N16" s="275"/>
    </row>
    <row r="17" spans="1:14" ht="12" customHeight="1">
      <c r="A17" s="200" t="s">
        <v>318</v>
      </c>
      <c r="B17" s="201" t="s">
        <v>319</v>
      </c>
      <c r="C17" s="239">
        <v>241822.49</v>
      </c>
      <c r="D17" s="277">
        <v>258829.35</v>
      </c>
      <c r="E17" s="387">
        <v>280007.92</v>
      </c>
      <c r="F17" s="277">
        <v>292979.3</v>
      </c>
      <c r="G17" s="202"/>
      <c r="H17" s="202">
        <v>296575</v>
      </c>
      <c r="I17" s="202"/>
      <c r="J17" s="202">
        <f>304096.43+422.5</f>
        <v>304518.93</v>
      </c>
      <c r="K17" s="203">
        <f t="shared" si="0"/>
        <v>7943.929999999993</v>
      </c>
      <c r="M17" s="275"/>
      <c r="N17" s="275"/>
    </row>
    <row r="18" spans="1:14" s="2" customFormat="1" ht="12" customHeight="1">
      <c r="A18" s="204"/>
      <c r="B18" s="205" t="s">
        <v>83</v>
      </c>
      <c r="C18" s="206">
        <f t="shared" ref="C18:K18" si="1">SUM(C9:C17)</f>
        <v>429181.56</v>
      </c>
      <c r="D18" s="278">
        <f t="shared" si="1"/>
        <v>467600.13</v>
      </c>
      <c r="E18" s="388">
        <f t="shared" si="1"/>
        <v>496233.87</v>
      </c>
      <c r="F18" s="278">
        <f t="shared" ref="F18" si="2">SUM(F9:F17)</f>
        <v>568949.76000000001</v>
      </c>
      <c r="G18" s="206"/>
      <c r="H18" s="206">
        <f t="shared" ref="H18:J18" si="3">SUM(H9:H17)</f>
        <v>567610</v>
      </c>
      <c r="I18" s="206"/>
      <c r="J18" s="206">
        <f t="shared" si="3"/>
        <v>598952.61</v>
      </c>
      <c r="K18" s="206">
        <f t="shared" si="1"/>
        <v>31342.609999999986</v>
      </c>
      <c r="L18" s="12" t="s">
        <v>166</v>
      </c>
      <c r="M18" s="297"/>
    </row>
    <row r="19" spans="1:14" ht="12" customHeight="1">
      <c r="A19" s="207"/>
      <c r="B19" s="208"/>
      <c r="C19" s="240"/>
      <c r="D19" s="277"/>
      <c r="E19" s="387"/>
      <c r="F19" s="277"/>
      <c r="G19" s="202"/>
      <c r="H19" s="202"/>
      <c r="I19" s="202"/>
      <c r="J19" s="202"/>
      <c r="K19" s="203"/>
    </row>
    <row r="20" spans="1:14" ht="12" customHeight="1">
      <c r="A20" s="209" t="s">
        <v>1488</v>
      </c>
      <c r="B20" s="208" t="s">
        <v>27</v>
      </c>
      <c r="C20" s="240">
        <v>15.84</v>
      </c>
      <c r="D20" s="277">
        <v>14.82</v>
      </c>
      <c r="E20" s="387">
        <v>61.11</v>
      </c>
      <c r="F20" s="277">
        <v>1838.27</v>
      </c>
      <c r="G20" s="202"/>
      <c r="H20" s="202">
        <v>2000</v>
      </c>
      <c r="I20" s="202"/>
      <c r="J20" s="202">
        <v>2100</v>
      </c>
      <c r="K20" s="203">
        <f>J20-H20</f>
        <v>100</v>
      </c>
      <c r="M20" s="275"/>
    </row>
    <row r="21" spans="1:14" ht="12" customHeight="1">
      <c r="A21" s="207"/>
      <c r="B21" s="208"/>
      <c r="C21" s="240"/>
      <c r="D21" s="214"/>
      <c r="E21" s="389"/>
      <c r="F21" s="214"/>
      <c r="G21" s="203"/>
      <c r="H21" s="203"/>
      <c r="I21" s="203"/>
      <c r="J21" s="203"/>
      <c r="K21" s="203"/>
      <c r="M21" s="275"/>
    </row>
    <row r="22" spans="1:14" ht="12" customHeight="1">
      <c r="A22" s="204"/>
      <c r="B22" s="205" t="s">
        <v>79</v>
      </c>
      <c r="C22" s="206">
        <f t="shared" ref="C22:K22" si="4">SUM(C20:C21)</f>
        <v>15.84</v>
      </c>
      <c r="D22" s="278">
        <f t="shared" si="4"/>
        <v>14.82</v>
      </c>
      <c r="E22" s="388">
        <f t="shared" si="4"/>
        <v>61.11</v>
      </c>
      <c r="F22" s="278">
        <f t="shared" ref="F22" si="5">SUM(F20:F21)</f>
        <v>1838.27</v>
      </c>
      <c r="G22" s="206"/>
      <c r="H22" s="206">
        <f t="shared" ref="H22:J22" si="6">SUM(H20:H21)</f>
        <v>2000</v>
      </c>
      <c r="I22" s="206"/>
      <c r="J22" s="206">
        <f t="shared" si="6"/>
        <v>2100</v>
      </c>
      <c r="K22" s="206">
        <f t="shared" si="4"/>
        <v>100</v>
      </c>
      <c r="M22" s="275"/>
    </row>
    <row r="23" spans="1:14" ht="12" customHeight="1">
      <c r="A23" s="207"/>
      <c r="B23" s="208"/>
      <c r="C23" s="240"/>
      <c r="D23" s="214"/>
      <c r="E23" s="389"/>
      <c r="F23" s="214"/>
      <c r="G23" s="203"/>
      <c r="H23" s="203"/>
      <c r="I23" s="203"/>
      <c r="J23" s="203"/>
      <c r="K23" s="203"/>
      <c r="M23" s="275"/>
    </row>
    <row r="24" spans="1:14" ht="12" customHeight="1">
      <c r="A24" s="200" t="s">
        <v>326</v>
      </c>
      <c r="B24" s="201" t="s">
        <v>327</v>
      </c>
      <c r="C24" s="239">
        <v>1937</v>
      </c>
      <c r="D24" s="279">
        <v>2564</v>
      </c>
      <c r="E24" s="390">
        <v>1652.5</v>
      </c>
      <c r="F24" s="279">
        <v>1428.5</v>
      </c>
      <c r="G24" s="481"/>
      <c r="H24" s="481">
        <v>1429</v>
      </c>
      <c r="I24" s="481"/>
      <c r="J24" s="481">
        <v>728</v>
      </c>
      <c r="K24" s="203">
        <f t="shared" ref="K24:K36" si="7">J24-H24</f>
        <v>-701</v>
      </c>
      <c r="L24" s="1" t="s">
        <v>120</v>
      </c>
      <c r="M24" s="275"/>
    </row>
    <row r="25" spans="1:14" ht="12" customHeight="1">
      <c r="A25" s="200" t="s">
        <v>320</v>
      </c>
      <c r="B25" s="201" t="s">
        <v>321</v>
      </c>
      <c r="C25" s="239">
        <v>3938</v>
      </c>
      <c r="D25" s="279">
        <v>4522.7</v>
      </c>
      <c r="E25" s="390">
        <v>3450</v>
      </c>
      <c r="F25" s="279">
        <v>2400</v>
      </c>
      <c r="G25" s="481"/>
      <c r="H25" s="481">
        <v>3000</v>
      </c>
      <c r="I25" s="481"/>
      <c r="J25" s="481">
        <v>3470</v>
      </c>
      <c r="K25" s="203">
        <f t="shared" si="7"/>
        <v>470</v>
      </c>
      <c r="L25" s="1" t="s">
        <v>120</v>
      </c>
      <c r="M25" s="275"/>
    </row>
    <row r="26" spans="1:14" ht="12" customHeight="1">
      <c r="A26" s="200" t="s">
        <v>322</v>
      </c>
      <c r="B26" s="201" t="s">
        <v>323</v>
      </c>
      <c r="C26" s="239">
        <v>2686</v>
      </c>
      <c r="D26" s="279">
        <v>1926</v>
      </c>
      <c r="E26" s="390">
        <v>1786</v>
      </c>
      <c r="F26" s="279">
        <v>1086</v>
      </c>
      <c r="G26" s="481"/>
      <c r="H26" s="481">
        <v>1500</v>
      </c>
      <c r="I26" s="481"/>
      <c r="J26" s="481">
        <v>1085</v>
      </c>
      <c r="K26" s="203">
        <f t="shared" si="7"/>
        <v>-415</v>
      </c>
      <c r="L26" s="1" t="s">
        <v>120</v>
      </c>
      <c r="M26" s="275"/>
    </row>
    <row r="27" spans="1:14" ht="12" customHeight="1">
      <c r="A27" s="200" t="s">
        <v>328</v>
      </c>
      <c r="B27" s="201" t="s">
        <v>329</v>
      </c>
      <c r="C27" s="239"/>
      <c r="D27" s="279">
        <v>115</v>
      </c>
      <c r="E27" s="390">
        <v>1050</v>
      </c>
      <c r="F27" s="279">
        <v>0</v>
      </c>
      <c r="G27" s="481"/>
      <c r="H27" s="481">
        <v>0</v>
      </c>
      <c r="I27" s="481"/>
      <c r="J27" s="481">
        <v>0</v>
      </c>
      <c r="K27" s="203">
        <f t="shared" si="7"/>
        <v>0</v>
      </c>
      <c r="L27" s="1" t="s">
        <v>120</v>
      </c>
      <c r="M27" s="275"/>
    </row>
    <row r="28" spans="1:14" ht="12" customHeight="1">
      <c r="A28" s="200" t="s">
        <v>324</v>
      </c>
      <c r="B28" s="201" t="s">
        <v>325</v>
      </c>
      <c r="C28" s="239">
        <v>2830</v>
      </c>
      <c r="D28" s="279">
        <v>2702.4</v>
      </c>
      <c r="E28" s="390">
        <v>2722.5</v>
      </c>
      <c r="F28" s="279">
        <v>1840.06</v>
      </c>
      <c r="G28" s="481"/>
      <c r="H28" s="481">
        <v>1840</v>
      </c>
      <c r="I28" s="481"/>
      <c r="J28" s="481">
        <v>2869</v>
      </c>
      <c r="K28" s="203">
        <f t="shared" si="7"/>
        <v>1029</v>
      </c>
      <c r="L28" s="1" t="s">
        <v>120</v>
      </c>
      <c r="M28" s="275"/>
    </row>
    <row r="29" spans="1:14" ht="12" customHeight="1">
      <c r="A29" s="200" t="s">
        <v>330</v>
      </c>
      <c r="B29" s="201" t="s">
        <v>331</v>
      </c>
      <c r="C29" s="239">
        <v>3680</v>
      </c>
      <c r="D29" s="279">
        <v>0</v>
      </c>
      <c r="E29" s="390">
        <v>2382</v>
      </c>
      <c r="F29" s="279">
        <v>0</v>
      </c>
      <c r="G29" s="481"/>
      <c r="H29" s="481">
        <v>0</v>
      </c>
      <c r="I29" s="481"/>
      <c r="J29" s="481">
        <v>0</v>
      </c>
      <c r="K29" s="203">
        <f t="shared" si="7"/>
        <v>0</v>
      </c>
      <c r="M29" s="275"/>
    </row>
    <row r="30" spans="1:14" ht="12" customHeight="1">
      <c r="A30" s="200" t="s">
        <v>336</v>
      </c>
      <c r="B30" s="201" t="s">
        <v>337</v>
      </c>
      <c r="C30" s="239">
        <v>3111.66</v>
      </c>
      <c r="D30" s="279">
        <v>1232.99</v>
      </c>
      <c r="E30" s="390">
        <v>0</v>
      </c>
      <c r="F30" s="279"/>
      <c r="G30" s="481"/>
      <c r="H30" s="481"/>
      <c r="I30" s="481"/>
      <c r="J30" s="481"/>
      <c r="K30" s="203">
        <f t="shared" si="7"/>
        <v>0</v>
      </c>
      <c r="L30" s="1" t="s">
        <v>120</v>
      </c>
      <c r="M30" s="275"/>
    </row>
    <row r="31" spans="1:14" ht="12" customHeight="1">
      <c r="A31" s="200" t="s">
        <v>332</v>
      </c>
      <c r="B31" s="201" t="s">
        <v>333</v>
      </c>
      <c r="C31" s="239">
        <v>4367.3999999999996</v>
      </c>
      <c r="D31" s="279">
        <v>5186.33</v>
      </c>
      <c r="E31" s="390">
        <v>0</v>
      </c>
      <c r="F31" s="279"/>
      <c r="G31" s="481"/>
      <c r="H31" s="481"/>
      <c r="I31" s="481"/>
      <c r="J31" s="481"/>
      <c r="K31" s="203">
        <f t="shared" si="7"/>
        <v>0</v>
      </c>
      <c r="L31" s="1" t="s">
        <v>120</v>
      </c>
      <c r="M31" s="275"/>
    </row>
    <row r="32" spans="1:14" ht="12" customHeight="1">
      <c r="A32" s="200" t="s">
        <v>334</v>
      </c>
      <c r="B32" s="201" t="s">
        <v>335</v>
      </c>
      <c r="C32" s="239">
        <v>2182.0500000000002</v>
      </c>
      <c r="D32" s="279">
        <v>1521.14</v>
      </c>
      <c r="E32" s="390">
        <v>0</v>
      </c>
      <c r="F32" s="279"/>
      <c r="G32" s="481"/>
      <c r="H32" s="481"/>
      <c r="I32" s="481"/>
      <c r="J32" s="481"/>
      <c r="K32" s="203">
        <f t="shared" si="7"/>
        <v>0</v>
      </c>
      <c r="L32" s="1" t="s">
        <v>120</v>
      </c>
      <c r="M32" s="275"/>
    </row>
    <row r="33" spans="1:14" ht="12" customHeight="1">
      <c r="A33" s="200" t="s">
        <v>338</v>
      </c>
      <c r="B33" s="201" t="s">
        <v>339</v>
      </c>
      <c r="C33" s="239">
        <v>8127.76</v>
      </c>
      <c r="D33" s="279">
        <v>0</v>
      </c>
      <c r="E33" s="390">
        <v>0</v>
      </c>
      <c r="F33" s="279">
        <v>0</v>
      </c>
      <c r="G33" s="481"/>
      <c r="H33" s="481">
        <v>0</v>
      </c>
      <c r="I33" s="481"/>
      <c r="J33" s="481">
        <v>0</v>
      </c>
      <c r="K33" s="203">
        <f t="shared" si="7"/>
        <v>0</v>
      </c>
      <c r="L33" s="1" t="s">
        <v>120</v>
      </c>
      <c r="M33" s="275"/>
    </row>
    <row r="34" spans="1:14" ht="12" customHeight="1">
      <c r="A34" s="200" t="s">
        <v>340</v>
      </c>
      <c r="B34" s="201" t="s">
        <v>341</v>
      </c>
      <c r="C34" s="239">
        <v>1443.45</v>
      </c>
      <c r="D34" s="279">
        <v>0</v>
      </c>
      <c r="E34" s="390">
        <v>0</v>
      </c>
      <c r="F34" s="279">
        <v>0</v>
      </c>
      <c r="G34" s="481"/>
      <c r="H34" s="481">
        <v>0</v>
      </c>
      <c r="I34" s="481"/>
      <c r="J34" s="481">
        <v>0</v>
      </c>
      <c r="K34" s="203">
        <f t="shared" si="7"/>
        <v>0</v>
      </c>
      <c r="M34" s="275"/>
    </row>
    <row r="35" spans="1:14" ht="12" customHeight="1">
      <c r="A35" s="200" t="s">
        <v>342</v>
      </c>
      <c r="B35" s="201" t="s">
        <v>343</v>
      </c>
      <c r="C35" s="239"/>
      <c r="D35" s="279">
        <v>0</v>
      </c>
      <c r="E35" s="390">
        <v>0</v>
      </c>
      <c r="F35" s="279">
        <v>0</v>
      </c>
      <c r="G35" s="481"/>
      <c r="H35" s="481">
        <v>0</v>
      </c>
      <c r="I35" s="481"/>
      <c r="J35" s="481">
        <v>0</v>
      </c>
      <c r="K35" s="203">
        <f t="shared" si="7"/>
        <v>0</v>
      </c>
      <c r="M35" s="275"/>
    </row>
    <row r="36" spans="1:14" ht="12" customHeight="1">
      <c r="A36" s="200" t="s">
        <v>344</v>
      </c>
      <c r="B36" s="201" t="s">
        <v>345</v>
      </c>
      <c r="C36" s="239"/>
      <c r="D36" s="279">
        <v>0</v>
      </c>
      <c r="E36" s="390">
        <v>0</v>
      </c>
      <c r="F36" s="279">
        <v>0</v>
      </c>
      <c r="G36" s="481"/>
      <c r="H36" s="481">
        <v>0</v>
      </c>
      <c r="I36" s="481"/>
      <c r="J36" s="481">
        <v>0</v>
      </c>
      <c r="K36" s="203">
        <f t="shared" si="7"/>
        <v>0</v>
      </c>
      <c r="M36" s="275"/>
    </row>
    <row r="37" spans="1:14" ht="12" customHeight="1">
      <c r="A37" s="204"/>
      <c r="B37" s="205" t="s">
        <v>80</v>
      </c>
      <c r="C37" s="206">
        <f>SUM(C24:C36)</f>
        <v>34303.319999999992</v>
      </c>
      <c r="D37" s="278">
        <f t="shared" ref="D37:E37" si="8">SUM(D24:D36)</f>
        <v>19770.559999999998</v>
      </c>
      <c r="E37" s="388">
        <f t="shared" si="8"/>
        <v>13043</v>
      </c>
      <c r="F37" s="278">
        <f t="shared" ref="F37" si="9">SUM(F24:F36)</f>
        <v>6754.5599999999995</v>
      </c>
      <c r="G37" s="206"/>
      <c r="H37" s="206">
        <f t="shared" ref="H37:J37" si="10">SUM(H24:H36)</f>
        <v>7769</v>
      </c>
      <c r="I37" s="206"/>
      <c r="J37" s="206">
        <f t="shared" si="10"/>
        <v>8152</v>
      </c>
      <c r="K37" s="206">
        <f>SUM(K24:K36)</f>
        <v>383</v>
      </c>
      <c r="M37" s="275"/>
      <c r="N37" s="13"/>
    </row>
    <row r="38" spans="1:14" ht="12" customHeight="1">
      <c r="A38" s="207"/>
      <c r="B38" s="208"/>
      <c r="C38" s="240"/>
      <c r="D38" s="214"/>
      <c r="E38" s="389"/>
      <c r="F38" s="214"/>
      <c r="G38" s="203"/>
      <c r="H38" s="203"/>
      <c r="I38" s="203"/>
      <c r="J38" s="203"/>
      <c r="K38" s="203"/>
      <c r="M38" s="275"/>
    </row>
    <row r="39" spans="1:14" ht="12" customHeight="1">
      <c r="A39" s="209" t="s">
        <v>346</v>
      </c>
      <c r="B39" s="208" t="s">
        <v>400</v>
      </c>
      <c r="C39" s="240">
        <v>230</v>
      </c>
      <c r="D39" s="277">
        <v>220</v>
      </c>
      <c r="E39" s="387">
        <v>30</v>
      </c>
      <c r="F39" s="277">
        <v>40</v>
      </c>
      <c r="G39" s="202"/>
      <c r="H39" s="202">
        <v>220</v>
      </c>
      <c r="I39" s="202"/>
      <c r="J39" s="202">
        <v>220</v>
      </c>
      <c r="K39" s="203">
        <f t="shared" ref="K39:K44" si="11">J39-H39</f>
        <v>0</v>
      </c>
      <c r="L39" s="1" t="s">
        <v>128</v>
      </c>
      <c r="M39" s="275"/>
    </row>
    <row r="40" spans="1:14" s="197" customFormat="1" ht="12.95" customHeight="1">
      <c r="A40" s="200" t="s">
        <v>869</v>
      </c>
      <c r="B40" s="201" t="s">
        <v>397</v>
      </c>
      <c r="C40" s="239">
        <v>5065.82</v>
      </c>
      <c r="D40" s="279">
        <v>5318.3</v>
      </c>
      <c r="E40" s="390">
        <v>5099.79</v>
      </c>
      <c r="F40" s="279">
        <v>3999.92</v>
      </c>
      <c r="G40" s="481"/>
      <c r="H40" s="481">
        <v>5250</v>
      </c>
      <c r="I40" s="481"/>
      <c r="J40" s="481">
        <v>9000</v>
      </c>
      <c r="K40" s="203">
        <f t="shared" si="11"/>
        <v>3750</v>
      </c>
      <c r="L40" s="198"/>
      <c r="M40" s="275"/>
    </row>
    <row r="41" spans="1:14" s="197" customFormat="1" ht="13.5" customHeight="1">
      <c r="A41" s="200" t="s">
        <v>1015</v>
      </c>
      <c r="B41" s="201" t="s">
        <v>394</v>
      </c>
      <c r="C41" s="239"/>
      <c r="D41" s="279">
        <v>0</v>
      </c>
      <c r="E41" s="390">
        <v>600</v>
      </c>
      <c r="F41" s="279">
        <v>0</v>
      </c>
      <c r="G41" s="481"/>
      <c r="H41" s="481">
        <v>0</v>
      </c>
      <c r="I41" s="481"/>
      <c r="J41" s="481">
        <v>0</v>
      </c>
      <c r="K41" s="203">
        <f t="shared" si="11"/>
        <v>0</v>
      </c>
      <c r="L41" s="198"/>
      <c r="M41" s="275"/>
    </row>
    <row r="42" spans="1:14" s="197" customFormat="1" ht="12.95" customHeight="1">
      <c r="A42" s="200" t="s">
        <v>395</v>
      </c>
      <c r="B42" s="201" t="s">
        <v>396</v>
      </c>
      <c r="C42" s="239"/>
      <c r="D42" s="279">
        <v>0</v>
      </c>
      <c r="E42" s="390">
        <v>0</v>
      </c>
      <c r="F42" s="279">
        <v>0</v>
      </c>
      <c r="G42" s="481"/>
      <c r="H42" s="481">
        <v>0</v>
      </c>
      <c r="I42" s="481"/>
      <c r="J42" s="481">
        <v>0</v>
      </c>
      <c r="K42" s="203">
        <f t="shared" si="11"/>
        <v>0</v>
      </c>
      <c r="L42" s="198"/>
      <c r="M42" s="275"/>
    </row>
    <row r="43" spans="1:14" s="197" customFormat="1" ht="12.95" customHeight="1">
      <c r="A43" s="200" t="s">
        <v>398</v>
      </c>
      <c r="B43" s="201" t="s">
        <v>399</v>
      </c>
      <c r="C43" s="239">
        <v>27442.59</v>
      </c>
      <c r="D43" s="279">
        <v>0</v>
      </c>
      <c r="E43" s="390">
        <v>0</v>
      </c>
      <c r="F43" s="279">
        <v>0</v>
      </c>
      <c r="G43" s="481"/>
      <c r="H43" s="481">
        <v>0</v>
      </c>
      <c r="I43" s="481"/>
      <c r="J43" s="481">
        <v>0</v>
      </c>
      <c r="K43" s="203">
        <f t="shared" si="11"/>
        <v>0</v>
      </c>
      <c r="L43" s="198"/>
      <c r="M43" s="275"/>
    </row>
    <row r="44" spans="1:14" s="197" customFormat="1" ht="12.95" customHeight="1">
      <c r="A44" s="200" t="s">
        <v>907</v>
      </c>
      <c r="B44" s="201" t="s">
        <v>908</v>
      </c>
      <c r="C44" s="239"/>
      <c r="D44" s="279"/>
      <c r="E44" s="390">
        <v>844.93</v>
      </c>
      <c r="F44" s="511">
        <v>0</v>
      </c>
      <c r="G44" s="482"/>
      <c r="H44" s="482">
        <v>0</v>
      </c>
      <c r="I44" s="482"/>
      <c r="J44" s="482">
        <v>0</v>
      </c>
      <c r="K44" s="203">
        <f t="shared" si="11"/>
        <v>0</v>
      </c>
      <c r="L44" s="198"/>
      <c r="M44" s="275"/>
    </row>
    <row r="45" spans="1:14" ht="12" customHeight="1">
      <c r="A45" s="209"/>
      <c r="B45" s="208"/>
      <c r="C45" s="240"/>
      <c r="D45" s="277"/>
      <c r="E45" s="387"/>
      <c r="F45" s="277"/>
      <c r="G45" s="202"/>
      <c r="H45" s="202"/>
      <c r="I45" s="202"/>
      <c r="J45" s="202"/>
      <c r="K45" s="203"/>
      <c r="M45" s="275"/>
    </row>
    <row r="46" spans="1:14" ht="12" customHeight="1">
      <c r="A46" s="204"/>
      <c r="B46" s="205" t="s">
        <v>392</v>
      </c>
      <c r="C46" s="206">
        <f t="shared" ref="C46:K46" si="12">SUM(C39:C45)</f>
        <v>32738.41</v>
      </c>
      <c r="D46" s="278">
        <f t="shared" si="12"/>
        <v>5538.3</v>
      </c>
      <c r="E46" s="388">
        <f t="shared" si="12"/>
        <v>6574.72</v>
      </c>
      <c r="F46" s="278">
        <f t="shared" si="12"/>
        <v>4039.92</v>
      </c>
      <c r="G46" s="206"/>
      <c r="H46" s="206">
        <f t="shared" ref="H46:J46" si="13">SUM(H39:H45)</f>
        <v>5470</v>
      </c>
      <c r="I46" s="206"/>
      <c r="J46" s="206">
        <f t="shared" si="13"/>
        <v>9220</v>
      </c>
      <c r="K46" s="206">
        <f t="shared" si="12"/>
        <v>3750</v>
      </c>
      <c r="M46" s="275"/>
      <c r="N46" s="13"/>
    </row>
    <row r="47" spans="1:14" ht="12" customHeight="1">
      <c r="A47" s="207"/>
      <c r="B47" s="208"/>
      <c r="C47" s="240"/>
      <c r="D47" s="214"/>
      <c r="E47" s="389"/>
      <c r="F47" s="214"/>
      <c r="G47" s="203"/>
      <c r="H47" s="203"/>
      <c r="I47" s="203"/>
      <c r="J47" s="203"/>
      <c r="K47" s="203"/>
      <c r="M47" s="275"/>
    </row>
    <row r="48" spans="1:14" ht="12" customHeight="1">
      <c r="A48" s="209" t="s">
        <v>347</v>
      </c>
      <c r="B48" s="208" t="s">
        <v>846</v>
      </c>
      <c r="C48" s="240">
        <v>555</v>
      </c>
      <c r="D48" s="277">
        <v>14200</v>
      </c>
      <c r="E48" s="387">
        <v>9050</v>
      </c>
      <c r="F48" s="277">
        <v>8020.08</v>
      </c>
      <c r="G48" s="202"/>
      <c r="H48" s="202">
        <v>0</v>
      </c>
      <c r="I48" s="202"/>
      <c r="J48" s="202">
        <v>17170</v>
      </c>
      <c r="K48" s="203">
        <f t="shared" ref="K48:K56" si="14">J48-H48</f>
        <v>17170</v>
      </c>
      <c r="M48" s="275"/>
    </row>
    <row r="49" spans="1:14" ht="12" customHeight="1">
      <c r="A49" s="209" t="s">
        <v>1289</v>
      </c>
      <c r="B49" s="208" t="s">
        <v>1288</v>
      </c>
      <c r="C49" s="240"/>
      <c r="D49" s="277"/>
      <c r="E49" s="387"/>
      <c r="F49" s="512">
        <v>2940</v>
      </c>
      <c r="G49" s="466"/>
      <c r="H49" s="466">
        <v>0</v>
      </c>
      <c r="I49" s="466"/>
      <c r="J49" s="466">
        <v>0</v>
      </c>
      <c r="K49" s="203">
        <f t="shared" si="14"/>
        <v>0</v>
      </c>
      <c r="M49" s="275"/>
    </row>
    <row r="50" spans="1:14" s="10" customFormat="1" ht="12" customHeight="1">
      <c r="A50" s="480" t="s">
        <v>1334</v>
      </c>
      <c r="B50" s="478" t="s">
        <v>1335</v>
      </c>
      <c r="C50" s="479"/>
      <c r="D50" s="277"/>
      <c r="E50" s="387"/>
      <c r="F50" s="277">
        <v>336.75</v>
      </c>
      <c r="G50" s="202"/>
      <c r="H50" s="202">
        <v>0</v>
      </c>
      <c r="I50" s="202"/>
      <c r="J50" s="202">
        <v>200</v>
      </c>
      <c r="K50" s="203">
        <f t="shared" si="14"/>
        <v>200</v>
      </c>
      <c r="M50" s="275"/>
    </row>
    <row r="51" spans="1:14" s="10" customFormat="1" ht="12" customHeight="1">
      <c r="A51" s="480" t="s">
        <v>1456</v>
      </c>
      <c r="B51" s="478" t="s">
        <v>1457</v>
      </c>
      <c r="C51" s="479"/>
      <c r="D51" s="277"/>
      <c r="E51" s="387"/>
      <c r="F51" s="277"/>
      <c r="G51" s="202"/>
      <c r="H51" s="202"/>
      <c r="I51" s="202"/>
      <c r="J51" s="202">
        <v>55</v>
      </c>
      <c r="K51" s="203">
        <f t="shared" si="14"/>
        <v>55</v>
      </c>
      <c r="M51" s="275"/>
    </row>
    <row r="52" spans="1:14" ht="12" customHeight="1">
      <c r="A52" s="209">
        <v>11119</v>
      </c>
      <c r="B52" s="208" t="s">
        <v>977</v>
      </c>
      <c r="C52" s="240"/>
      <c r="D52" s="277"/>
      <c r="E52" s="387">
        <v>4400</v>
      </c>
      <c r="F52" s="277">
        <v>0</v>
      </c>
      <c r="G52" s="202"/>
      <c r="H52" s="202">
        <v>0</v>
      </c>
      <c r="I52" s="202"/>
      <c r="J52" s="202">
        <v>150</v>
      </c>
      <c r="K52" s="203">
        <f>J52-H52</f>
        <v>150</v>
      </c>
      <c r="M52" s="275"/>
    </row>
    <row r="53" spans="1:14" ht="12" customHeight="1">
      <c r="A53" s="209" t="s">
        <v>1215</v>
      </c>
      <c r="B53" s="208" t="s">
        <v>1216</v>
      </c>
      <c r="C53" s="240"/>
      <c r="D53" s="277"/>
      <c r="E53" s="387"/>
      <c r="F53" s="512">
        <v>500</v>
      </c>
      <c r="G53" s="466"/>
      <c r="H53" s="466">
        <v>0</v>
      </c>
      <c r="I53" s="466"/>
      <c r="J53" s="466">
        <v>500</v>
      </c>
      <c r="K53" s="203">
        <f t="shared" si="14"/>
        <v>500</v>
      </c>
      <c r="M53" s="275"/>
    </row>
    <row r="54" spans="1:14" ht="12" customHeight="1">
      <c r="A54" s="209">
        <v>111993</v>
      </c>
      <c r="B54" s="208" t="s">
        <v>1458</v>
      </c>
      <c r="C54" s="240"/>
      <c r="D54" s="277"/>
      <c r="E54" s="387"/>
      <c r="F54" s="512"/>
      <c r="G54" s="466"/>
      <c r="H54" s="466"/>
      <c r="I54" s="466"/>
      <c r="J54" s="202">
        <v>5000</v>
      </c>
      <c r="K54" s="203">
        <f t="shared" si="14"/>
        <v>5000</v>
      </c>
      <c r="M54" s="275"/>
    </row>
    <row r="55" spans="1:14" ht="12" customHeight="1">
      <c r="A55" s="209" t="s">
        <v>348</v>
      </c>
      <c r="B55" s="208" t="s">
        <v>847</v>
      </c>
      <c r="C55" s="240"/>
      <c r="D55" s="277">
        <f>6131+20822.13</f>
        <v>26953.13</v>
      </c>
      <c r="E55" s="387">
        <v>5851</v>
      </c>
      <c r="F55" s="277">
        <v>8131.9</v>
      </c>
      <c r="G55" s="202"/>
      <c r="H55" s="202">
        <v>0</v>
      </c>
      <c r="I55" s="202"/>
      <c r="J55" s="202">
        <v>2000</v>
      </c>
      <c r="K55" s="203">
        <f t="shared" si="14"/>
        <v>2000</v>
      </c>
      <c r="M55" s="275"/>
    </row>
    <row r="56" spans="1:14" ht="12" customHeight="1">
      <c r="A56" s="209">
        <v>11192</v>
      </c>
      <c r="B56" s="208" t="s">
        <v>976</v>
      </c>
      <c r="C56" s="240"/>
      <c r="D56" s="277"/>
      <c r="E56" s="387">
        <v>100</v>
      </c>
      <c r="F56" s="277">
        <v>0</v>
      </c>
      <c r="G56" s="202"/>
      <c r="H56" s="202">
        <v>0</v>
      </c>
      <c r="I56" s="202"/>
      <c r="J56" s="202">
        <v>0</v>
      </c>
      <c r="K56" s="203">
        <f t="shared" si="14"/>
        <v>0</v>
      </c>
      <c r="M56" s="275"/>
    </row>
    <row r="57" spans="1:14" ht="12" customHeight="1">
      <c r="A57" s="207"/>
      <c r="B57" s="208"/>
      <c r="C57" s="240"/>
      <c r="D57" s="277"/>
      <c r="E57" s="387"/>
      <c r="F57" s="277"/>
      <c r="G57" s="202"/>
      <c r="H57" s="202"/>
      <c r="I57" s="202"/>
      <c r="J57" s="202"/>
      <c r="K57" s="203"/>
      <c r="M57" s="275"/>
    </row>
    <row r="58" spans="1:14" s="2" customFormat="1" ht="12" customHeight="1">
      <c r="A58" s="204"/>
      <c r="B58" s="205" t="s">
        <v>81</v>
      </c>
      <c r="C58" s="206">
        <f>SUM(C48:C57)</f>
        <v>555</v>
      </c>
      <c r="D58" s="278">
        <f>SUM(D48:D57)</f>
        <v>41153.130000000005</v>
      </c>
      <c r="E58" s="388">
        <f>SUM(E48:E57)</f>
        <v>19401</v>
      </c>
      <c r="F58" s="278">
        <f>SUM(F48:F57)</f>
        <v>19928.73</v>
      </c>
      <c r="G58" s="206"/>
      <c r="H58" s="206">
        <f>SUM(H48:H57)</f>
        <v>0</v>
      </c>
      <c r="I58" s="206"/>
      <c r="J58" s="206">
        <f>SUM(J48:J57)</f>
        <v>25075</v>
      </c>
      <c r="K58" s="206">
        <f>SUM(K48:K57)</f>
        <v>25075</v>
      </c>
      <c r="M58" s="275"/>
    </row>
    <row r="59" spans="1:14" ht="12" customHeight="1">
      <c r="A59" s="207"/>
      <c r="B59" s="208"/>
      <c r="C59" s="240"/>
      <c r="D59" s="214"/>
      <c r="E59" s="389"/>
      <c r="F59" s="214"/>
      <c r="G59" s="203"/>
      <c r="H59" s="203"/>
      <c r="I59" s="203"/>
      <c r="J59" s="203"/>
      <c r="K59" s="203"/>
      <c r="M59" s="275"/>
    </row>
    <row r="60" spans="1:14" ht="12" customHeight="1">
      <c r="A60" s="209" t="s">
        <v>349</v>
      </c>
      <c r="B60" s="208" t="s">
        <v>28</v>
      </c>
      <c r="C60" s="240">
        <v>20770.490000000002</v>
      </c>
      <c r="D60" s="277">
        <v>13623.74</v>
      </c>
      <c r="E60" s="387">
        <f>178.74+41742.49</f>
        <v>41921.229999999996</v>
      </c>
      <c r="F60" s="277">
        <v>2162.7199999999998</v>
      </c>
      <c r="G60" s="202"/>
      <c r="H60" s="202">
        <v>5000</v>
      </c>
      <c r="I60" s="202"/>
      <c r="J60" s="202">
        <v>0</v>
      </c>
      <c r="K60" s="203">
        <f>J60-H60</f>
        <v>-5000</v>
      </c>
      <c r="M60" s="275"/>
    </row>
    <row r="61" spans="1:14" ht="12" customHeight="1">
      <c r="A61" s="209"/>
      <c r="B61" s="208"/>
      <c r="C61" s="240"/>
      <c r="D61" s="277"/>
      <c r="E61" s="387"/>
      <c r="F61" s="277"/>
      <c r="G61" s="202"/>
      <c r="H61" s="202"/>
      <c r="I61" s="202"/>
      <c r="J61" s="202"/>
      <c r="K61" s="203"/>
      <c r="M61" s="275"/>
    </row>
    <row r="62" spans="1:14" s="2" customFormat="1" ht="12" customHeight="1">
      <c r="A62" s="204"/>
      <c r="B62" s="205" t="s">
        <v>82</v>
      </c>
      <c r="C62" s="206">
        <f t="shared" ref="C62:K62" si="15">SUM(C60)</f>
        <v>20770.490000000002</v>
      </c>
      <c r="D62" s="278">
        <f t="shared" si="15"/>
        <v>13623.74</v>
      </c>
      <c r="E62" s="388">
        <f>SUM(E60)</f>
        <v>41921.229999999996</v>
      </c>
      <c r="F62" s="278">
        <f t="shared" ref="F62" si="16">SUM(F60)</f>
        <v>2162.7199999999998</v>
      </c>
      <c r="G62" s="206"/>
      <c r="H62" s="206">
        <f t="shared" ref="H62:J62" si="17">SUM(H60)</f>
        <v>5000</v>
      </c>
      <c r="I62" s="206"/>
      <c r="J62" s="206">
        <f t="shared" si="17"/>
        <v>0</v>
      </c>
      <c r="K62" s="206">
        <f t="shared" si="15"/>
        <v>-5000</v>
      </c>
      <c r="M62" s="275"/>
    </row>
    <row r="63" spans="1:14" ht="12" customHeight="1">
      <c r="A63" s="207"/>
      <c r="B63" s="208"/>
      <c r="C63" s="240"/>
      <c r="D63" s="214"/>
      <c r="E63" s="387"/>
      <c r="F63" s="277"/>
      <c r="G63" s="202"/>
      <c r="H63" s="202"/>
      <c r="I63" s="202"/>
      <c r="J63" s="202"/>
      <c r="K63" s="203"/>
      <c r="M63" s="275"/>
    </row>
    <row r="64" spans="1:14" s="197" customFormat="1" ht="12.95" customHeight="1">
      <c r="A64" s="200" t="s">
        <v>350</v>
      </c>
      <c r="B64" s="201" t="s">
        <v>1031</v>
      </c>
      <c r="C64" s="239">
        <v>691894.8</v>
      </c>
      <c r="D64" s="279">
        <v>765829.82</v>
      </c>
      <c r="E64" s="387">
        <v>871112.07</v>
      </c>
      <c r="F64" s="279">
        <v>796618.23999999999</v>
      </c>
      <c r="G64" s="481"/>
      <c r="H64" s="481">
        <f>'State Aid Calculation'!B52</f>
        <v>833954.03099999996</v>
      </c>
      <c r="I64" s="481"/>
      <c r="J64" s="481">
        <f>'New Calcuator'!H28</f>
        <v>737553.34950000013</v>
      </c>
      <c r="K64" s="203">
        <f t="shared" ref="K64:K92" si="18">J64-H64</f>
        <v>-96400.681499999831</v>
      </c>
      <c r="L64" s="536" t="s">
        <v>351</v>
      </c>
      <c r="M64" s="275"/>
      <c r="N64" s="260"/>
    </row>
    <row r="65" spans="1:14" s="197" customFormat="1" ht="12.95" customHeight="1">
      <c r="A65" s="200" t="s">
        <v>352</v>
      </c>
      <c r="B65" s="201" t="s">
        <v>353</v>
      </c>
      <c r="C65" s="239">
        <v>21752.5</v>
      </c>
      <c r="D65" s="279">
        <v>25657.14</v>
      </c>
      <c r="E65" s="387">
        <v>31595.360000000001</v>
      </c>
      <c r="F65" s="279">
        <v>43925.33</v>
      </c>
      <c r="G65" s="481"/>
      <c r="H65" s="481">
        <f>'State Aid Calculation'!B53</f>
        <v>46538.073764280001</v>
      </c>
      <c r="I65" s="481"/>
      <c r="J65" s="481">
        <f>'New Calcuator'!H29</f>
        <v>45327.41</v>
      </c>
      <c r="K65" s="203">
        <f t="shared" si="18"/>
        <v>-1210.6637642799978</v>
      </c>
      <c r="L65" s="536"/>
      <c r="M65" s="275"/>
      <c r="N65" s="260"/>
    </row>
    <row r="66" spans="1:14" s="197" customFormat="1" ht="12.75" customHeight="1">
      <c r="A66" s="200" t="s">
        <v>354</v>
      </c>
      <c r="B66" s="201" t="s">
        <v>355</v>
      </c>
      <c r="C66" s="239">
        <v>665760.14</v>
      </c>
      <c r="D66" s="279">
        <v>778384.32</v>
      </c>
      <c r="E66" s="387">
        <v>930632.15</v>
      </c>
      <c r="F66" s="279">
        <v>931371.25</v>
      </c>
      <c r="G66" s="481"/>
      <c r="H66" s="481">
        <f>'State Aid Calculation'!B54</f>
        <v>995151.1280400001</v>
      </c>
      <c r="I66" s="481"/>
      <c r="J66" s="481">
        <f>'New Calcuator'!H30</f>
        <v>1069963.0205000001</v>
      </c>
      <c r="K66" s="203">
        <f t="shared" si="18"/>
        <v>74811.892460000003</v>
      </c>
      <c r="L66" s="536"/>
      <c r="M66" s="275"/>
      <c r="N66" s="260"/>
    </row>
    <row r="67" spans="1:14" s="197" customFormat="1" ht="12.75" customHeight="1">
      <c r="A67" s="225" t="s">
        <v>1300</v>
      </c>
      <c r="B67" s="201" t="s">
        <v>1299</v>
      </c>
      <c r="C67" s="239"/>
      <c r="D67" s="279"/>
      <c r="E67" s="387"/>
      <c r="F67" s="279">
        <v>6488.8</v>
      </c>
      <c r="G67" s="481"/>
      <c r="H67" s="481">
        <v>2838.85</v>
      </c>
      <c r="I67" s="481"/>
      <c r="J67" s="481">
        <v>0</v>
      </c>
      <c r="K67" s="203">
        <f t="shared" si="18"/>
        <v>-2838.85</v>
      </c>
      <c r="L67" s="472"/>
      <c r="M67" s="275"/>
    </row>
    <row r="68" spans="1:14" s="197" customFormat="1" ht="12.95" customHeight="1">
      <c r="A68" s="200" t="s">
        <v>356</v>
      </c>
      <c r="B68" s="201" t="s">
        <v>357</v>
      </c>
      <c r="C68" s="239">
        <v>1913.12</v>
      </c>
      <c r="D68" s="279">
        <v>2147.4899999999998</v>
      </c>
      <c r="E68" s="387">
        <v>0</v>
      </c>
      <c r="F68" s="279"/>
      <c r="G68" s="481"/>
      <c r="H68" s="481"/>
      <c r="I68" s="481"/>
      <c r="J68" s="481"/>
      <c r="K68" s="203">
        <f t="shared" si="18"/>
        <v>0</v>
      </c>
      <c r="L68" s="198" t="s">
        <v>358</v>
      </c>
      <c r="M68" s="275"/>
    </row>
    <row r="69" spans="1:14" s="197" customFormat="1" ht="12.95" customHeight="1">
      <c r="A69" s="200" t="s">
        <v>359</v>
      </c>
      <c r="B69" s="201" t="s">
        <v>360</v>
      </c>
      <c r="C69" s="239"/>
      <c r="D69" s="279">
        <v>450</v>
      </c>
      <c r="E69" s="387">
        <v>829.48</v>
      </c>
      <c r="F69" s="279">
        <v>819.25</v>
      </c>
      <c r="G69" s="481"/>
      <c r="H69" s="481">
        <v>819.25</v>
      </c>
      <c r="I69" s="481"/>
      <c r="J69" s="481">
        <v>408.98</v>
      </c>
      <c r="K69" s="203">
        <f t="shared" si="18"/>
        <v>-410.27</v>
      </c>
      <c r="L69" s="198" t="s">
        <v>361</v>
      </c>
      <c r="M69" s="275"/>
    </row>
    <row r="70" spans="1:14" s="197" customFormat="1" ht="12.95" customHeight="1">
      <c r="A70" s="200" t="s">
        <v>362</v>
      </c>
      <c r="B70" s="210" t="s">
        <v>363</v>
      </c>
      <c r="C70" s="241">
        <v>10790.21</v>
      </c>
      <c r="D70" s="279">
        <v>12696.1</v>
      </c>
      <c r="E70" s="387">
        <v>14583.57</v>
      </c>
      <c r="F70" s="279">
        <v>14791.42</v>
      </c>
      <c r="G70" s="481"/>
      <c r="H70" s="481">
        <v>14779.75</v>
      </c>
      <c r="I70" s="481"/>
      <c r="J70" s="481">
        <v>13587.95</v>
      </c>
      <c r="K70" s="203">
        <f t="shared" si="18"/>
        <v>-1191.7999999999993</v>
      </c>
      <c r="L70" s="198" t="s">
        <v>358</v>
      </c>
      <c r="M70" s="275"/>
    </row>
    <row r="71" spans="1:14" s="197" customFormat="1" ht="12.95" customHeight="1">
      <c r="A71" s="200" t="s">
        <v>364</v>
      </c>
      <c r="B71" s="201" t="s">
        <v>365</v>
      </c>
      <c r="C71" s="239"/>
      <c r="D71" s="279"/>
      <c r="E71" s="387">
        <v>0</v>
      </c>
      <c r="F71" s="279"/>
      <c r="G71" s="481"/>
      <c r="H71" s="481">
        <v>0</v>
      </c>
      <c r="I71" s="481"/>
      <c r="J71" s="481">
        <v>0</v>
      </c>
      <c r="K71" s="203">
        <f t="shared" si="18"/>
        <v>0</v>
      </c>
      <c r="L71" s="198"/>
      <c r="M71" s="275"/>
    </row>
    <row r="72" spans="1:14" s="197" customFormat="1" ht="12.95" customHeight="1">
      <c r="A72" s="200" t="s">
        <v>366</v>
      </c>
      <c r="B72" s="201" t="s">
        <v>367</v>
      </c>
      <c r="C72" s="239">
        <v>5974.76</v>
      </c>
      <c r="D72" s="279">
        <v>6534.32</v>
      </c>
      <c r="E72" s="387">
        <v>7278.78</v>
      </c>
      <c r="F72" s="279">
        <v>7342.89</v>
      </c>
      <c r="G72" s="481"/>
      <c r="H72" s="481">
        <v>7342.41</v>
      </c>
      <c r="I72" s="481"/>
      <c r="J72" s="481">
        <v>6985.85</v>
      </c>
      <c r="K72" s="203">
        <f t="shared" si="18"/>
        <v>-356.55999999999949</v>
      </c>
      <c r="L72" s="198" t="s">
        <v>358</v>
      </c>
      <c r="M72" s="275"/>
    </row>
    <row r="73" spans="1:14" s="197" customFormat="1" ht="12.95" customHeight="1">
      <c r="A73" s="200" t="s">
        <v>1486</v>
      </c>
      <c r="B73" s="201" t="s">
        <v>369</v>
      </c>
      <c r="C73" s="239"/>
      <c r="D73" s="279"/>
      <c r="E73" s="387"/>
      <c r="F73" s="279"/>
      <c r="G73" s="481"/>
      <c r="H73" s="481"/>
      <c r="I73" s="481"/>
      <c r="J73" s="482">
        <v>1193.77</v>
      </c>
      <c r="K73" s="203">
        <f t="shared" si="18"/>
        <v>1193.77</v>
      </c>
      <c r="L73" s="198"/>
      <c r="M73" s="275"/>
    </row>
    <row r="74" spans="1:14" s="197" customFormat="1" ht="12.95" customHeight="1">
      <c r="A74" s="200" t="s">
        <v>368</v>
      </c>
      <c r="B74" s="201" t="s">
        <v>369</v>
      </c>
      <c r="C74" s="239">
        <v>111835.78</v>
      </c>
      <c r="D74" s="279">
        <v>70158.100000000006</v>
      </c>
      <c r="E74" s="387">
        <v>102986.1</v>
      </c>
      <c r="F74" s="511">
        <v>92526.67</v>
      </c>
      <c r="G74" s="482"/>
      <c r="H74" s="482">
        <f>78899.48+165555.66</f>
        <v>244455.14</v>
      </c>
      <c r="I74" s="482"/>
      <c r="J74" s="482">
        <f>151928.47+141366.56</f>
        <v>293295.03000000003</v>
      </c>
      <c r="K74" s="203">
        <f t="shared" si="18"/>
        <v>48839.890000000014</v>
      </c>
      <c r="L74" s="198"/>
      <c r="M74" s="275"/>
    </row>
    <row r="75" spans="1:14" s="197" customFormat="1" ht="12.95" customHeight="1">
      <c r="A75" s="200" t="s">
        <v>370</v>
      </c>
      <c r="B75" s="201" t="s">
        <v>371</v>
      </c>
      <c r="C75" s="239">
        <v>3570</v>
      </c>
      <c r="D75" s="279">
        <v>5584.65</v>
      </c>
      <c r="E75" s="387">
        <v>1409.55</v>
      </c>
      <c r="F75" s="511">
        <v>4910.87</v>
      </c>
      <c r="G75" s="482"/>
      <c r="H75" s="482">
        <v>3921</v>
      </c>
      <c r="I75" s="482"/>
      <c r="J75" s="482">
        <f>2179.74+5287.52</f>
        <v>7467.26</v>
      </c>
      <c r="K75" s="203">
        <f t="shared" si="18"/>
        <v>3546.26</v>
      </c>
      <c r="L75" s="198" t="s">
        <v>358</v>
      </c>
      <c r="M75" s="275"/>
    </row>
    <row r="76" spans="1:14" s="197" customFormat="1" ht="12.95" customHeight="1">
      <c r="A76" s="200" t="s">
        <v>1489</v>
      </c>
      <c r="B76" s="201" t="s">
        <v>372</v>
      </c>
      <c r="C76" s="239">
        <v>84911.38</v>
      </c>
      <c r="D76" s="279">
        <v>40517.379999999997</v>
      </c>
      <c r="E76" s="387">
        <v>70320.62</v>
      </c>
      <c r="F76" s="511">
        <v>46228.52</v>
      </c>
      <c r="G76" s="482"/>
      <c r="H76" s="482">
        <v>112509</v>
      </c>
      <c r="I76" s="482"/>
      <c r="J76" s="482">
        <v>132357</v>
      </c>
      <c r="K76" s="203">
        <f t="shared" si="18"/>
        <v>19848</v>
      </c>
      <c r="L76" s="198"/>
      <c r="M76" s="275"/>
    </row>
    <row r="77" spans="1:14" s="197" customFormat="1" ht="12.95" customHeight="1">
      <c r="A77" s="200" t="s">
        <v>1184</v>
      </c>
      <c r="B77" s="201" t="s">
        <v>839</v>
      </c>
      <c r="C77" s="239"/>
      <c r="D77" s="279">
        <v>39582.21</v>
      </c>
      <c r="E77" s="387">
        <v>39786.720000000001</v>
      </c>
      <c r="F77" s="513">
        <v>71085.279999999999</v>
      </c>
      <c r="G77" s="465"/>
      <c r="H77" s="465">
        <v>65000</v>
      </c>
      <c r="I77" s="465"/>
      <c r="J77" s="465">
        <v>66280.479999999996</v>
      </c>
      <c r="K77" s="203">
        <f t="shared" si="18"/>
        <v>1280.4799999999959</v>
      </c>
      <c r="L77" s="198"/>
      <c r="M77" s="275"/>
    </row>
    <row r="78" spans="1:14" s="197" customFormat="1" ht="12.95" customHeight="1">
      <c r="A78" s="200" t="s">
        <v>870</v>
      </c>
      <c r="B78" s="201" t="s">
        <v>928</v>
      </c>
      <c r="C78" s="239"/>
      <c r="D78" s="279"/>
      <c r="E78" s="387">
        <v>30666.93</v>
      </c>
      <c r="F78" s="279">
        <v>26907</v>
      </c>
      <c r="G78" s="481"/>
      <c r="H78" s="481">
        <v>13485.24</v>
      </c>
      <c r="I78" s="481"/>
      <c r="J78" s="481">
        <v>13157.97</v>
      </c>
      <c r="K78" s="203">
        <f t="shared" si="18"/>
        <v>-327.27000000000044</v>
      </c>
      <c r="L78" s="198" t="s">
        <v>358</v>
      </c>
      <c r="M78" s="275"/>
    </row>
    <row r="79" spans="1:14" s="197" customFormat="1" ht="12.95" customHeight="1">
      <c r="A79" s="200" t="s">
        <v>1185</v>
      </c>
      <c r="B79" s="201" t="s">
        <v>374</v>
      </c>
      <c r="C79" s="239">
        <v>37270.269999999997</v>
      </c>
      <c r="D79" s="279">
        <v>39581.06</v>
      </c>
      <c r="E79" s="387">
        <v>19893.79</v>
      </c>
      <c r="F79" s="279">
        <v>20315.61</v>
      </c>
      <c r="G79" s="481"/>
      <c r="H79" s="481">
        <v>20315.61</v>
      </c>
      <c r="I79" s="481"/>
      <c r="J79" s="481">
        <v>21074.48</v>
      </c>
      <c r="K79" s="203">
        <f t="shared" si="18"/>
        <v>758.86999999999898</v>
      </c>
      <c r="L79" s="198"/>
      <c r="M79" s="275"/>
    </row>
    <row r="80" spans="1:14" s="197" customFormat="1" ht="12.95" customHeight="1">
      <c r="A80" s="200" t="s">
        <v>375</v>
      </c>
      <c r="B80" s="201" t="s">
        <v>376</v>
      </c>
      <c r="C80" s="239"/>
      <c r="D80" s="279"/>
      <c r="E80" s="387">
        <v>1541.79</v>
      </c>
      <c r="F80" s="279"/>
      <c r="G80" s="481"/>
      <c r="H80" s="481">
        <v>0</v>
      </c>
      <c r="I80" s="481"/>
      <c r="J80" s="481">
        <v>0</v>
      </c>
      <c r="K80" s="203">
        <f t="shared" si="18"/>
        <v>0</v>
      </c>
      <c r="L80" s="198" t="s">
        <v>358</v>
      </c>
      <c r="M80" s="275"/>
    </row>
    <row r="81" spans="1:14" s="197" customFormat="1" ht="12.95" customHeight="1">
      <c r="A81" s="200" t="s">
        <v>377</v>
      </c>
      <c r="B81" s="201" t="s">
        <v>378</v>
      </c>
      <c r="C81" s="239">
        <v>220272.53</v>
      </c>
      <c r="D81" s="279">
        <v>204742.24</v>
      </c>
      <c r="E81" s="387">
        <v>183731.25</v>
      </c>
      <c r="F81" s="279">
        <v>221181.79</v>
      </c>
      <c r="G81" s="481"/>
      <c r="H81" s="481">
        <v>221181.79</v>
      </c>
      <c r="I81" s="481"/>
      <c r="J81" s="481">
        <v>276232.63</v>
      </c>
      <c r="K81" s="203">
        <f t="shared" si="18"/>
        <v>55050.84</v>
      </c>
      <c r="L81" s="198" t="s">
        <v>358</v>
      </c>
      <c r="M81" s="275"/>
    </row>
    <row r="82" spans="1:14" s="197" customFormat="1" ht="12.95" customHeight="1">
      <c r="A82" s="200" t="s">
        <v>379</v>
      </c>
      <c r="B82" s="201" t="s">
        <v>380</v>
      </c>
      <c r="C82" s="239"/>
      <c r="D82" s="279"/>
      <c r="E82" s="387">
        <v>0</v>
      </c>
      <c r="F82" s="279"/>
      <c r="G82" s="481"/>
      <c r="H82" s="481">
        <v>0</v>
      </c>
      <c r="I82" s="481"/>
      <c r="J82" s="481">
        <v>0</v>
      </c>
      <c r="K82" s="203">
        <f t="shared" si="18"/>
        <v>0</v>
      </c>
      <c r="L82" s="198"/>
      <c r="M82" s="275"/>
    </row>
    <row r="83" spans="1:14" s="197" customFormat="1" ht="12.95" customHeight="1">
      <c r="A83" s="200" t="s">
        <v>373</v>
      </c>
      <c r="B83" s="201" t="s">
        <v>381</v>
      </c>
      <c r="C83" s="239"/>
      <c r="D83" s="279">
        <v>9447.08</v>
      </c>
      <c r="E83" s="387">
        <v>8365.24</v>
      </c>
      <c r="F83" s="279">
        <v>13555.74</v>
      </c>
      <c r="G83" s="481"/>
      <c r="H83" s="481">
        <v>5986.6</v>
      </c>
      <c r="I83" s="481"/>
      <c r="J83" s="481">
        <v>9030.1299999999992</v>
      </c>
      <c r="K83" s="203">
        <f t="shared" si="18"/>
        <v>3043.5299999999988</v>
      </c>
      <c r="L83" s="198" t="s">
        <v>358</v>
      </c>
      <c r="M83" s="275"/>
    </row>
    <row r="84" spans="1:14" s="197" customFormat="1" ht="12.95" customHeight="1">
      <c r="A84" s="200" t="s">
        <v>382</v>
      </c>
      <c r="B84" s="201" t="s">
        <v>843</v>
      </c>
      <c r="C84" s="239">
        <v>3450</v>
      </c>
      <c r="D84" s="279">
        <v>1875.1</v>
      </c>
      <c r="E84" s="387">
        <v>0</v>
      </c>
      <c r="F84" s="511"/>
      <c r="G84" s="482"/>
      <c r="H84" s="482">
        <f>2621.61</f>
        <v>2621.61</v>
      </c>
      <c r="I84" s="482"/>
      <c r="J84" s="482">
        <v>2621.61</v>
      </c>
      <c r="K84" s="203">
        <f t="shared" si="18"/>
        <v>0</v>
      </c>
      <c r="L84" s="198" t="s">
        <v>358</v>
      </c>
      <c r="M84" s="275"/>
    </row>
    <row r="85" spans="1:14" s="197" customFormat="1" ht="12.95" customHeight="1">
      <c r="A85" s="200" t="s">
        <v>1487</v>
      </c>
      <c r="B85" s="201" t="s">
        <v>840</v>
      </c>
      <c r="C85" s="239"/>
      <c r="D85" s="279">
        <v>6486.48</v>
      </c>
      <c r="E85" s="387">
        <v>0</v>
      </c>
      <c r="F85" s="279"/>
      <c r="G85" s="481"/>
      <c r="H85" s="481">
        <v>0</v>
      </c>
      <c r="I85" s="481"/>
      <c r="J85" s="481">
        <v>0</v>
      </c>
      <c r="K85" s="203">
        <f t="shared" si="18"/>
        <v>0</v>
      </c>
      <c r="L85" s="198"/>
      <c r="M85" s="275"/>
    </row>
    <row r="86" spans="1:14" s="197" customFormat="1" ht="12.95" customHeight="1">
      <c r="A86" s="200" t="s">
        <v>1186</v>
      </c>
      <c r="B86" s="201" t="s">
        <v>929</v>
      </c>
      <c r="C86" s="239"/>
      <c r="D86" s="279"/>
      <c r="E86" s="387">
        <v>2524.04</v>
      </c>
      <c r="F86" s="279">
        <v>3359.2</v>
      </c>
      <c r="G86" s="481"/>
      <c r="H86" s="481">
        <v>3359.86</v>
      </c>
      <c r="I86" s="481"/>
      <c r="J86" s="481">
        <v>5147.32</v>
      </c>
      <c r="K86" s="203">
        <f t="shared" si="18"/>
        <v>1787.4599999999996</v>
      </c>
      <c r="L86" s="198"/>
      <c r="M86" s="275"/>
    </row>
    <row r="87" spans="1:14" s="197" customFormat="1" ht="12.95" customHeight="1">
      <c r="A87" s="200" t="s">
        <v>383</v>
      </c>
      <c r="B87" s="201" t="s">
        <v>384</v>
      </c>
      <c r="C87" s="239">
        <v>13679.51</v>
      </c>
      <c r="D87" s="279">
        <v>10088.14</v>
      </c>
      <c r="E87" s="387">
        <v>8600.09</v>
      </c>
      <c r="F87" s="279">
        <v>11865.05</v>
      </c>
      <c r="G87" s="481"/>
      <c r="H87" s="481">
        <v>12300</v>
      </c>
      <c r="I87" s="481"/>
      <c r="J87" s="481">
        <v>-10500</v>
      </c>
      <c r="K87" s="203">
        <f t="shared" si="18"/>
        <v>-22800</v>
      </c>
      <c r="L87" s="198"/>
      <c r="M87" s="275"/>
    </row>
    <row r="88" spans="1:14" s="197" customFormat="1" ht="12.95" customHeight="1">
      <c r="A88" s="200" t="s">
        <v>1193</v>
      </c>
      <c r="B88" s="201" t="s">
        <v>1194</v>
      </c>
      <c r="C88" s="239"/>
      <c r="D88" s="279"/>
      <c r="E88" s="387">
        <v>-49409.5</v>
      </c>
      <c r="F88" s="279"/>
      <c r="G88" s="481"/>
      <c r="H88" s="481"/>
      <c r="I88" s="481"/>
      <c r="J88" s="481"/>
      <c r="K88" s="203">
        <f t="shared" si="18"/>
        <v>0</v>
      </c>
      <c r="L88" s="198"/>
      <c r="M88" s="275"/>
    </row>
    <row r="89" spans="1:14" s="197" customFormat="1" ht="12.95" customHeight="1">
      <c r="A89" s="200" t="s">
        <v>1284</v>
      </c>
      <c r="B89" s="201" t="s">
        <v>1285</v>
      </c>
      <c r="C89" s="239"/>
      <c r="D89" s="279"/>
      <c r="E89" s="387"/>
      <c r="F89" s="279">
        <v>18714.419999999998</v>
      </c>
      <c r="G89" s="481"/>
      <c r="H89" s="481">
        <v>18699.830000000002</v>
      </c>
      <c r="I89" s="481"/>
      <c r="J89" s="481">
        <v>18699.830000000002</v>
      </c>
      <c r="K89" s="203">
        <f t="shared" si="18"/>
        <v>0</v>
      </c>
      <c r="L89" s="198"/>
      <c r="M89" s="275"/>
    </row>
    <row r="90" spans="1:14" s="197" customFormat="1" ht="12.95" customHeight="1">
      <c r="A90" s="200" t="s">
        <v>1036</v>
      </c>
      <c r="B90" s="201" t="s">
        <v>1037</v>
      </c>
      <c r="C90" s="239"/>
      <c r="D90" s="279"/>
      <c r="E90" s="387">
        <v>0</v>
      </c>
      <c r="F90" s="511"/>
      <c r="G90" s="482"/>
      <c r="H90" s="482">
        <v>1526.88</v>
      </c>
      <c r="I90" s="482"/>
      <c r="J90" s="482">
        <v>1526.88</v>
      </c>
      <c r="K90" s="203">
        <f t="shared" si="18"/>
        <v>0</v>
      </c>
      <c r="L90" s="198"/>
      <c r="M90" s="275"/>
    </row>
    <row r="91" spans="1:14" s="197" customFormat="1" ht="12.95" customHeight="1">
      <c r="A91" s="200" t="s">
        <v>1352</v>
      </c>
      <c r="B91" s="201" t="s">
        <v>1353</v>
      </c>
      <c r="C91" s="239"/>
      <c r="D91" s="279"/>
      <c r="E91" s="387"/>
      <c r="F91" s="279">
        <v>6258.53</v>
      </c>
      <c r="G91" s="481"/>
      <c r="H91" s="481"/>
      <c r="I91" s="481"/>
      <c r="J91" s="481"/>
      <c r="K91" s="203">
        <f t="shared" si="18"/>
        <v>0</v>
      </c>
      <c r="L91" s="198"/>
      <c r="M91" s="275"/>
    </row>
    <row r="92" spans="1:14" s="197" customFormat="1" ht="12.95" customHeight="1">
      <c r="A92" s="225" t="s">
        <v>1404</v>
      </c>
      <c r="B92" s="201" t="s">
        <v>1405</v>
      </c>
      <c r="C92" s="239"/>
      <c r="D92" s="279"/>
      <c r="E92" s="387"/>
      <c r="F92" s="279">
        <v>997.83</v>
      </c>
      <c r="G92" s="481"/>
      <c r="H92" s="481"/>
      <c r="I92" s="481"/>
      <c r="J92" s="481"/>
      <c r="K92" s="203">
        <f t="shared" si="18"/>
        <v>0</v>
      </c>
      <c r="L92" s="198"/>
      <c r="M92" s="275"/>
    </row>
    <row r="93" spans="1:14" s="197" customFormat="1" ht="12.95" customHeight="1">
      <c r="A93" s="200"/>
      <c r="B93" s="201"/>
      <c r="C93" s="239"/>
      <c r="D93" s="279"/>
      <c r="E93" s="390"/>
      <c r="F93" s="279"/>
      <c r="G93" s="481"/>
      <c r="H93" s="481"/>
      <c r="I93" s="481"/>
      <c r="J93" s="481"/>
      <c r="K93" s="203"/>
      <c r="L93" s="198"/>
      <c r="M93" s="275"/>
    </row>
    <row r="94" spans="1:14" s="2" customFormat="1" ht="12" customHeight="1">
      <c r="A94" s="204"/>
      <c r="B94" s="205" t="s">
        <v>385</v>
      </c>
      <c r="C94" s="206">
        <f>SUM(C64:C87)</f>
        <v>1873075</v>
      </c>
      <c r="D94" s="388">
        <f>SUM(D64:D90)</f>
        <v>2019761.63</v>
      </c>
      <c r="E94" s="388">
        <f>SUM(E64:E90)</f>
        <v>2276448.0300000003</v>
      </c>
      <c r="F94" s="278">
        <f>SUM(F64:F92)</f>
        <v>2339263.69</v>
      </c>
      <c r="G94" s="206"/>
      <c r="H94" s="206">
        <f t="shared" ref="H94:K94" si="19">SUM(H64:H91)</f>
        <v>2626786.0528042801</v>
      </c>
      <c r="I94" s="206"/>
      <c r="J94" s="206">
        <f t="shared" ref="J94" si="20">SUM(J64:J91)</f>
        <v>2711410.9499999997</v>
      </c>
      <c r="K94" s="206">
        <f t="shared" si="19"/>
        <v>84624.897195720172</v>
      </c>
      <c r="M94" s="275"/>
      <c r="N94" s="474"/>
    </row>
    <row r="95" spans="1:14" ht="26.25" thickBot="1">
      <c r="A95" s="14" t="s">
        <v>30</v>
      </c>
      <c r="B95" s="15" t="s">
        <v>32</v>
      </c>
      <c r="C95" s="237" t="str">
        <f>C7</f>
        <v>2017/2018 Actual</v>
      </c>
      <c r="D95" s="276" t="str">
        <f>D7</f>
        <v>2018/2019 Actual</v>
      </c>
      <c r="E95" s="386" t="str">
        <f>E7</f>
        <v>2019/2020 Actual</v>
      </c>
      <c r="F95" s="276" t="str">
        <f>F7</f>
        <v>2020/2021 Actual</v>
      </c>
      <c r="G95" s="163"/>
      <c r="H95" s="163" t="str">
        <f>H7</f>
        <v xml:space="preserve">2021-2022 Approved Budget </v>
      </c>
      <c r="I95" s="163"/>
      <c r="J95" s="163" t="str">
        <f>J7</f>
        <v xml:space="preserve">2021-2022 Amended Budget </v>
      </c>
      <c r="K95" s="15" t="s">
        <v>89</v>
      </c>
      <c r="L95" s="15" t="s">
        <v>89</v>
      </c>
      <c r="M95" s="275"/>
    </row>
    <row r="96" spans="1:14" ht="12" customHeight="1">
      <c r="A96" s="207"/>
      <c r="B96" s="208"/>
      <c r="C96" s="240"/>
      <c r="D96" s="214"/>
      <c r="E96" s="389"/>
      <c r="F96" s="214"/>
      <c r="G96" s="203"/>
      <c r="H96" s="203"/>
      <c r="I96" s="203"/>
      <c r="J96" s="203"/>
      <c r="K96" s="203"/>
      <c r="M96" s="275"/>
    </row>
    <row r="97" spans="1:13" ht="12" customHeight="1">
      <c r="A97" s="207"/>
      <c r="B97" s="208"/>
      <c r="C97" s="240"/>
      <c r="D97" s="214"/>
      <c r="E97" s="389"/>
      <c r="F97" s="214"/>
      <c r="G97" s="203"/>
      <c r="H97" s="203"/>
      <c r="I97" s="203"/>
      <c r="J97" s="203"/>
      <c r="K97" s="203"/>
      <c r="M97" s="275"/>
    </row>
    <row r="98" spans="1:13" s="197" customFormat="1" ht="12.95" customHeight="1">
      <c r="A98" s="225" t="s">
        <v>1329</v>
      </c>
      <c r="B98" s="201" t="s">
        <v>1045</v>
      </c>
      <c r="C98" s="239"/>
      <c r="D98" s="279"/>
      <c r="E98" s="390">
        <v>0</v>
      </c>
      <c r="F98" s="511">
        <v>391688.95</v>
      </c>
      <c r="G98" s="482"/>
      <c r="H98" s="260"/>
      <c r="I98" s="482"/>
      <c r="J98" s="482">
        <v>333865.05</v>
      </c>
      <c r="K98" s="203">
        <f>J98-H98</f>
        <v>333865.05</v>
      </c>
      <c r="L98" s="198"/>
      <c r="M98" s="275"/>
    </row>
    <row r="99" spans="1:13" s="197" customFormat="1" ht="12.95" customHeight="1">
      <c r="A99" s="225"/>
      <c r="B99" s="201" t="s">
        <v>1344</v>
      </c>
      <c r="C99" s="239">
        <v>409324.5</v>
      </c>
      <c r="D99" s="279">
        <f>535696.79+172151</f>
        <v>707847.79</v>
      </c>
      <c r="E99" s="390">
        <f>90001.84+601717.15</f>
        <v>691718.99</v>
      </c>
      <c r="F99" s="279">
        <v>135377.54</v>
      </c>
      <c r="G99" s="481"/>
      <c r="H99" s="481">
        <v>0</v>
      </c>
      <c r="I99" s="481"/>
      <c r="J99" s="481">
        <v>0</v>
      </c>
      <c r="K99" s="203">
        <f t="shared" ref="K99:K119" si="21">J99-H99</f>
        <v>0</v>
      </c>
      <c r="L99" s="198"/>
      <c r="M99" s="275"/>
    </row>
    <row r="100" spans="1:13" s="197" customFormat="1" ht="12.95" customHeight="1">
      <c r="A100" s="225" t="s">
        <v>871</v>
      </c>
      <c r="B100" s="201" t="s">
        <v>872</v>
      </c>
      <c r="C100" s="239">
        <v>598758</v>
      </c>
      <c r="D100" s="279">
        <v>67964</v>
      </c>
      <c r="E100" s="390">
        <v>0</v>
      </c>
      <c r="F100" s="279"/>
      <c r="G100" s="481"/>
      <c r="H100" s="481">
        <v>0</v>
      </c>
      <c r="I100" s="481"/>
      <c r="J100" s="481">
        <v>0</v>
      </c>
      <c r="K100" s="203">
        <f t="shared" si="21"/>
        <v>0</v>
      </c>
      <c r="L100" s="198"/>
      <c r="M100" s="275"/>
    </row>
    <row r="101" spans="1:13" s="197" customFormat="1" ht="12.95" customHeight="1">
      <c r="A101" s="225" t="s">
        <v>1490</v>
      </c>
      <c r="B101" s="201" t="s">
        <v>1338</v>
      </c>
      <c r="C101" s="239"/>
      <c r="D101" s="279"/>
      <c r="E101" s="390"/>
      <c r="F101" s="279">
        <v>61930.8</v>
      </c>
      <c r="G101" s="481"/>
      <c r="H101" s="482">
        <v>203561</v>
      </c>
      <c r="I101" s="482"/>
      <c r="J101" s="482">
        <v>193479</v>
      </c>
      <c r="K101" s="203">
        <f t="shared" si="21"/>
        <v>-10082</v>
      </c>
      <c r="L101" s="198"/>
      <c r="M101" s="275"/>
    </row>
    <row r="102" spans="1:13" s="197" customFormat="1" ht="12.95" customHeight="1">
      <c r="A102" s="225" t="s">
        <v>1187</v>
      </c>
      <c r="B102" s="201" t="s">
        <v>1046</v>
      </c>
      <c r="C102" s="239"/>
      <c r="D102" s="279"/>
      <c r="E102" s="390">
        <v>0</v>
      </c>
      <c r="F102" s="511"/>
      <c r="G102" s="482"/>
      <c r="H102" s="482">
        <v>0</v>
      </c>
      <c r="I102" s="482"/>
      <c r="J102" s="482">
        <v>38108.67</v>
      </c>
      <c r="K102" s="203">
        <f t="shared" si="21"/>
        <v>38108.67</v>
      </c>
      <c r="L102" s="198"/>
      <c r="M102" s="275"/>
    </row>
    <row r="103" spans="1:13" s="197" customFormat="1" ht="12.95" customHeight="1">
      <c r="A103" s="200"/>
      <c r="B103" s="201" t="s">
        <v>1339</v>
      </c>
      <c r="C103" s="239">
        <v>119977</v>
      </c>
      <c r="D103" s="279">
        <f>3238+90413</f>
        <v>93651</v>
      </c>
      <c r="E103" s="390">
        <f>2333.8+78118.86</f>
        <v>80452.66</v>
      </c>
      <c r="F103" s="279">
        <v>5310.64</v>
      </c>
      <c r="G103" s="481"/>
      <c r="H103" s="481">
        <v>0</v>
      </c>
      <c r="I103" s="481"/>
      <c r="J103" s="481">
        <v>0</v>
      </c>
      <c r="K103" s="203">
        <f t="shared" si="21"/>
        <v>0</v>
      </c>
      <c r="L103" s="198"/>
      <c r="M103" s="275"/>
    </row>
    <row r="104" spans="1:13" s="197" customFormat="1" ht="12.95" customHeight="1">
      <c r="A104" s="200" t="s">
        <v>1491</v>
      </c>
      <c r="B104" s="201" t="s">
        <v>1340</v>
      </c>
      <c r="C104" s="239"/>
      <c r="D104" s="279"/>
      <c r="E104" s="390"/>
      <c r="F104" s="279"/>
      <c r="G104" s="481"/>
      <c r="H104" s="482">
        <v>25000</v>
      </c>
      <c r="I104" s="482"/>
      <c r="J104" s="482">
        <v>50069</v>
      </c>
      <c r="K104" s="203">
        <f t="shared" si="21"/>
        <v>25069</v>
      </c>
      <c r="L104" s="198"/>
      <c r="M104" s="275"/>
    </row>
    <row r="105" spans="1:13" s="197" customFormat="1" ht="12.95" customHeight="1">
      <c r="A105" s="200" t="s">
        <v>1188</v>
      </c>
      <c r="B105" s="201" t="s">
        <v>1047</v>
      </c>
      <c r="C105" s="239"/>
      <c r="D105" s="279"/>
      <c r="E105" s="390">
        <v>0</v>
      </c>
      <c r="F105" s="511">
        <v>8290.1299999999992</v>
      </c>
      <c r="G105" s="482"/>
      <c r="H105" s="482">
        <v>40000</v>
      </c>
      <c r="I105" s="482"/>
      <c r="J105" s="482">
        <v>5806.49</v>
      </c>
      <c r="K105" s="203">
        <f t="shared" si="21"/>
        <v>-34193.51</v>
      </c>
      <c r="L105" s="198"/>
      <c r="M105" s="275"/>
    </row>
    <row r="106" spans="1:13" s="197" customFormat="1" ht="12.95" customHeight="1">
      <c r="A106" s="200" t="s">
        <v>386</v>
      </c>
      <c r="B106" s="201" t="s">
        <v>1341</v>
      </c>
      <c r="C106" s="239"/>
      <c r="D106" s="279">
        <v>15877.78</v>
      </c>
      <c r="E106" s="390">
        <f>4889.17+29173.94</f>
        <v>34063.11</v>
      </c>
      <c r="F106" s="279"/>
      <c r="G106" s="481"/>
      <c r="H106" s="481">
        <v>0</v>
      </c>
      <c r="I106" s="481"/>
      <c r="J106" s="481">
        <v>0</v>
      </c>
      <c r="K106" s="203">
        <f t="shared" si="21"/>
        <v>0</v>
      </c>
      <c r="L106" s="198"/>
      <c r="M106" s="275"/>
    </row>
    <row r="107" spans="1:13" s="197" customFormat="1" ht="12.95" customHeight="1">
      <c r="A107" s="200" t="s">
        <v>1391</v>
      </c>
      <c r="B107" s="201" t="s">
        <v>1345</v>
      </c>
      <c r="C107" s="239"/>
      <c r="D107" s="279"/>
      <c r="E107" s="390"/>
      <c r="F107" s="279"/>
      <c r="G107" s="481"/>
      <c r="H107" s="482">
        <v>10000</v>
      </c>
      <c r="I107" s="482"/>
      <c r="J107" s="482">
        <v>19980</v>
      </c>
      <c r="K107" s="203">
        <f t="shared" si="21"/>
        <v>9980</v>
      </c>
      <c r="L107" s="198"/>
      <c r="M107" s="275"/>
    </row>
    <row r="108" spans="1:13" s="197" customFormat="1" ht="12.95" customHeight="1">
      <c r="A108" s="200" t="s">
        <v>1189</v>
      </c>
      <c r="B108" s="201" t="s">
        <v>1342</v>
      </c>
      <c r="C108" s="239"/>
      <c r="D108" s="279"/>
      <c r="E108" s="390">
        <v>0</v>
      </c>
      <c r="F108" s="511">
        <v>2476.0700000000002</v>
      </c>
      <c r="G108" s="482"/>
      <c r="H108" s="482">
        <v>15000</v>
      </c>
      <c r="I108" s="482"/>
      <c r="J108" s="482">
        <v>9117.01</v>
      </c>
      <c r="K108" s="203">
        <f t="shared" si="21"/>
        <v>-5882.99</v>
      </c>
      <c r="L108" s="198"/>
      <c r="M108" s="275"/>
    </row>
    <row r="109" spans="1:13" s="197" customFormat="1" ht="12.95" customHeight="1">
      <c r="A109" s="200"/>
      <c r="B109" s="201" t="s">
        <v>1343</v>
      </c>
      <c r="C109" s="239"/>
      <c r="D109" s="279">
        <v>8983.91</v>
      </c>
      <c r="E109" s="390">
        <f>1208.95+3339.52</f>
        <v>4548.47</v>
      </c>
      <c r="F109" s="279">
        <v>2204.9299999999998</v>
      </c>
      <c r="G109" s="481"/>
      <c r="H109" s="482">
        <v>2204.9299999999998</v>
      </c>
      <c r="I109" s="482"/>
      <c r="J109" s="482">
        <v>0</v>
      </c>
      <c r="K109" s="203">
        <f t="shared" si="21"/>
        <v>-2204.9299999999998</v>
      </c>
      <c r="L109" s="198"/>
      <c r="M109" s="275"/>
    </row>
    <row r="110" spans="1:13" s="197" customFormat="1" ht="12.95" customHeight="1">
      <c r="A110" s="200" t="s">
        <v>395</v>
      </c>
      <c r="B110" s="201" t="s">
        <v>396</v>
      </c>
      <c r="C110" s="239">
        <v>45541</v>
      </c>
      <c r="D110" s="279"/>
      <c r="E110" s="390">
        <v>0</v>
      </c>
      <c r="F110" s="279">
        <v>3478.4</v>
      </c>
      <c r="G110" s="481"/>
      <c r="H110" s="481"/>
      <c r="I110" s="481"/>
      <c r="J110" s="481"/>
      <c r="K110" s="203">
        <f t="shared" si="21"/>
        <v>0</v>
      </c>
      <c r="L110" s="198"/>
      <c r="M110" s="275"/>
    </row>
    <row r="111" spans="1:13" s="197" customFormat="1" ht="12.95" customHeight="1">
      <c r="A111" s="200" t="s">
        <v>387</v>
      </c>
      <c r="B111" s="201" t="s">
        <v>963</v>
      </c>
      <c r="C111" s="239">
        <v>7170</v>
      </c>
      <c r="D111" s="279">
        <v>9948.7099999999991</v>
      </c>
      <c r="E111" s="390">
        <v>4519.97</v>
      </c>
      <c r="F111" s="511">
        <v>5001.0600000000004</v>
      </c>
      <c r="G111" s="482"/>
      <c r="H111" s="482">
        <v>6548</v>
      </c>
      <c r="I111" s="482"/>
      <c r="J111" s="482">
        <v>10746.26</v>
      </c>
      <c r="K111" s="203">
        <f t="shared" si="21"/>
        <v>4198.26</v>
      </c>
      <c r="L111" s="198"/>
      <c r="M111" s="275"/>
    </row>
    <row r="112" spans="1:13" s="197" customFormat="1" ht="12.95" customHeight="1">
      <c r="A112" s="200" t="s">
        <v>388</v>
      </c>
      <c r="B112" s="201" t="s">
        <v>389</v>
      </c>
      <c r="C112" s="239">
        <v>525.1</v>
      </c>
      <c r="D112" s="279">
        <v>1162.27</v>
      </c>
      <c r="E112" s="390">
        <v>546.54999999999995</v>
      </c>
      <c r="F112" s="279">
        <v>793.29</v>
      </c>
      <c r="G112" s="481"/>
      <c r="H112" s="481">
        <v>1300</v>
      </c>
      <c r="I112" s="481"/>
      <c r="J112" s="481">
        <v>1600</v>
      </c>
      <c r="K112" s="203">
        <f t="shared" si="21"/>
        <v>300</v>
      </c>
      <c r="L112" s="198"/>
      <c r="M112" s="275"/>
    </row>
    <row r="113" spans="1:15" s="197" customFormat="1" ht="12.95" customHeight="1">
      <c r="A113" s="200" t="s">
        <v>1217</v>
      </c>
      <c r="B113" s="201" t="s">
        <v>1218</v>
      </c>
      <c r="C113" s="239"/>
      <c r="D113" s="279"/>
      <c r="E113" s="390"/>
      <c r="F113" s="511">
        <v>98196.5</v>
      </c>
      <c r="G113" s="482"/>
      <c r="H113" s="482">
        <v>0</v>
      </c>
      <c r="I113" s="482"/>
      <c r="J113" s="482">
        <v>0</v>
      </c>
      <c r="K113" s="203">
        <f t="shared" si="21"/>
        <v>0</v>
      </c>
      <c r="L113" s="198"/>
      <c r="M113" s="275"/>
    </row>
    <row r="114" spans="1:15" s="197" customFormat="1" ht="12.95" customHeight="1">
      <c r="A114" s="225" t="s">
        <v>1305</v>
      </c>
      <c r="B114" s="201" t="s">
        <v>1219</v>
      </c>
      <c r="C114" s="239"/>
      <c r="D114" s="279"/>
      <c r="E114" s="390"/>
      <c r="F114" s="511">
        <v>17533.86</v>
      </c>
      <c r="G114" s="482"/>
      <c r="H114" s="482">
        <v>0</v>
      </c>
      <c r="I114" s="482"/>
      <c r="J114" s="482">
        <v>4610.1400000000003</v>
      </c>
      <c r="K114" s="203">
        <f t="shared" si="21"/>
        <v>4610.1400000000003</v>
      </c>
      <c r="L114" s="198"/>
      <c r="M114" s="275"/>
    </row>
    <row r="115" spans="1:15" s="197" customFormat="1" ht="12.95" customHeight="1">
      <c r="A115" s="225" t="s">
        <v>1310</v>
      </c>
      <c r="B115" s="201" t="s">
        <v>1303</v>
      </c>
      <c r="C115" s="239"/>
      <c r="D115" s="279"/>
      <c r="E115" s="390"/>
      <c r="F115" s="511">
        <v>14886.3</v>
      </c>
      <c r="G115" s="482"/>
      <c r="H115" s="482">
        <v>0</v>
      </c>
      <c r="I115" s="482"/>
      <c r="J115" s="482">
        <v>0</v>
      </c>
      <c r="K115" s="203">
        <f t="shared" si="21"/>
        <v>0</v>
      </c>
      <c r="L115" s="198"/>
      <c r="M115" s="275"/>
    </row>
    <row r="116" spans="1:15" ht="12.75" customHeight="1">
      <c r="A116" s="207">
        <v>11414756</v>
      </c>
      <c r="B116" s="261" t="s">
        <v>1180</v>
      </c>
      <c r="C116" s="240"/>
      <c r="D116" s="277"/>
      <c r="E116" s="390">
        <v>0</v>
      </c>
      <c r="F116" s="512">
        <v>86836.86</v>
      </c>
      <c r="G116" s="466"/>
      <c r="H116" s="466">
        <v>0</v>
      </c>
      <c r="I116" s="466"/>
      <c r="J116" s="466">
        <v>3460.53</v>
      </c>
      <c r="K116" s="203">
        <f t="shared" si="21"/>
        <v>3460.53</v>
      </c>
      <c r="M116" s="275"/>
    </row>
    <row r="117" spans="1:15" s="197" customFormat="1" ht="12.95" customHeight="1">
      <c r="A117" s="200" t="s">
        <v>1365</v>
      </c>
      <c r="B117" s="201" t="s">
        <v>1287</v>
      </c>
      <c r="C117" s="239"/>
      <c r="D117" s="279"/>
      <c r="E117" s="387"/>
      <c r="F117" s="511"/>
      <c r="G117" s="482"/>
      <c r="H117" s="482">
        <v>0</v>
      </c>
      <c r="I117" s="482"/>
      <c r="J117" s="482">
        <v>0</v>
      </c>
      <c r="K117" s="203">
        <f t="shared" si="21"/>
        <v>0</v>
      </c>
      <c r="L117" s="198"/>
      <c r="M117" s="275"/>
    </row>
    <row r="118" spans="1:15" ht="12" customHeight="1">
      <c r="A118" s="207" t="s">
        <v>1392</v>
      </c>
      <c r="B118" s="261" t="s">
        <v>1360</v>
      </c>
      <c r="C118" s="240"/>
      <c r="D118" s="277"/>
      <c r="E118" s="390"/>
      <c r="F118" s="512"/>
      <c r="G118" s="466"/>
      <c r="H118" s="466">
        <v>239936</v>
      </c>
      <c r="I118" s="466"/>
      <c r="J118" s="466">
        <v>533317</v>
      </c>
      <c r="K118" s="203">
        <f t="shared" si="21"/>
        <v>293381</v>
      </c>
      <c r="M118" s="275"/>
      <c r="N118" s="13"/>
    </row>
    <row r="119" spans="1:15" ht="12" customHeight="1">
      <c r="A119" s="207" t="s">
        <v>1393</v>
      </c>
      <c r="B119" s="261" t="s">
        <v>1361</v>
      </c>
      <c r="C119" s="240"/>
      <c r="D119" s="277"/>
      <c r="E119" s="390"/>
      <c r="F119" s="512">
        <v>0</v>
      </c>
      <c r="G119" s="466"/>
      <c r="H119" s="466">
        <v>0</v>
      </c>
      <c r="I119" s="466"/>
      <c r="J119" s="466">
        <v>1196350</v>
      </c>
      <c r="K119" s="203">
        <f t="shared" si="21"/>
        <v>1196350</v>
      </c>
      <c r="M119" s="275"/>
      <c r="N119" s="13"/>
    </row>
    <row r="120" spans="1:15" ht="12" customHeight="1">
      <c r="A120" s="211"/>
      <c r="B120" s="208"/>
      <c r="C120" s="240"/>
      <c r="D120" s="214"/>
      <c r="E120" s="389"/>
      <c r="F120" s="214">
        <v>0</v>
      </c>
      <c r="G120" s="203"/>
      <c r="H120" s="203"/>
      <c r="I120" s="203"/>
      <c r="J120" s="203"/>
      <c r="K120" s="203"/>
      <c r="M120" s="275"/>
    </row>
    <row r="121" spans="1:15" s="2" customFormat="1" ht="12" customHeight="1">
      <c r="A121" s="204"/>
      <c r="B121" s="205" t="s">
        <v>390</v>
      </c>
      <c r="C121" s="212">
        <f>SUM(C98:C120)</f>
        <v>1181295.6000000001</v>
      </c>
      <c r="D121" s="212">
        <f>SUM(D98:D120)</f>
        <v>905435.46000000008</v>
      </c>
      <c r="E121" s="212">
        <f>SUM(E98:E120)</f>
        <v>815849.75</v>
      </c>
      <c r="F121" s="514">
        <f>SUM(F98:F120)</f>
        <v>834005.33000000019</v>
      </c>
      <c r="G121" s="212"/>
      <c r="H121" s="212">
        <f>SUM(H98:H120)</f>
        <v>543549.92999999993</v>
      </c>
      <c r="I121" s="212"/>
      <c r="J121" s="212">
        <f>SUM(J98:J120)</f>
        <v>2400509.1500000004</v>
      </c>
      <c r="K121" s="212">
        <f>SUM(K98:K120)</f>
        <v>1856959.22</v>
      </c>
      <c r="M121" s="275"/>
      <c r="N121" s="475"/>
    </row>
    <row r="122" spans="1:15" ht="12" customHeight="1">
      <c r="A122" s="207"/>
      <c r="B122" s="208"/>
      <c r="C122" s="240"/>
      <c r="D122" s="214"/>
      <c r="E122" s="389"/>
      <c r="F122" s="214"/>
      <c r="G122" s="203"/>
      <c r="H122" s="203"/>
      <c r="I122" s="203"/>
      <c r="J122" s="203"/>
      <c r="K122" s="203"/>
    </row>
    <row r="123" spans="1:15" ht="12" customHeight="1">
      <c r="A123" s="209" t="s">
        <v>393</v>
      </c>
      <c r="B123" s="208" t="s">
        <v>1297</v>
      </c>
      <c r="C123" s="240"/>
      <c r="D123" s="214">
        <v>336.76</v>
      </c>
      <c r="E123" s="389"/>
      <c r="F123" s="214">
        <v>8017.37</v>
      </c>
      <c r="G123" s="203"/>
      <c r="H123" s="203">
        <v>0</v>
      </c>
      <c r="I123" s="203"/>
      <c r="J123" s="203">
        <v>8458</v>
      </c>
      <c r="K123" s="203">
        <f t="shared" ref="K123:K125" si="22">J123-H123</f>
        <v>8458</v>
      </c>
    </row>
    <row r="124" spans="1:15" ht="12" customHeight="1">
      <c r="A124" s="209" t="s">
        <v>1366</v>
      </c>
      <c r="B124" s="208" t="s">
        <v>1367</v>
      </c>
      <c r="C124" s="240"/>
      <c r="D124" s="214"/>
      <c r="E124" s="389"/>
      <c r="F124" s="214">
        <v>1174.04</v>
      </c>
      <c r="G124" s="203"/>
      <c r="H124" s="203">
        <v>0</v>
      </c>
      <c r="I124" s="203"/>
      <c r="J124" s="203">
        <v>0</v>
      </c>
      <c r="K124" s="203">
        <f t="shared" si="22"/>
        <v>0</v>
      </c>
    </row>
    <row r="125" spans="1:15" s="261" customFormat="1" ht="12.75">
      <c r="B125" s="261" t="s">
        <v>959</v>
      </c>
      <c r="C125" s="262">
        <v>0</v>
      </c>
      <c r="D125" s="263">
        <v>0</v>
      </c>
      <c r="E125" s="391">
        <v>0</v>
      </c>
      <c r="F125" s="263">
        <v>0</v>
      </c>
      <c r="G125" s="483"/>
      <c r="H125" s="483">
        <v>0</v>
      </c>
      <c r="I125" s="483"/>
      <c r="J125" s="483">
        <v>0</v>
      </c>
      <c r="K125" s="203">
        <f t="shared" si="22"/>
        <v>0</v>
      </c>
      <c r="L125" s="264"/>
      <c r="O125" s="265"/>
    </row>
    <row r="126" spans="1:15" s="261" customFormat="1" ht="5.25" customHeight="1">
      <c r="C126" s="266"/>
      <c r="D126" s="267"/>
      <c r="E126" s="392"/>
      <c r="F126" s="267"/>
      <c r="G126" s="268"/>
      <c r="H126" s="268"/>
      <c r="I126" s="268"/>
      <c r="J126" s="268"/>
      <c r="K126" s="268"/>
      <c r="L126" s="264"/>
      <c r="O126" s="265"/>
    </row>
    <row r="127" spans="1:15" s="261" customFormat="1" ht="12.75">
      <c r="B127" s="270" t="s">
        <v>960</v>
      </c>
      <c r="C127" s="280">
        <f>SUM(C123:C126)</f>
        <v>0</v>
      </c>
      <c r="D127" s="280">
        <f>SUM(D123:D126)</f>
        <v>336.76</v>
      </c>
      <c r="E127" s="393">
        <f t="shared" ref="E127:K127" si="23">SUM(E123:E126)</f>
        <v>0</v>
      </c>
      <c r="F127" s="280">
        <f t="shared" ref="F127" si="24">SUM(F123:F126)</f>
        <v>9191.41</v>
      </c>
      <c r="G127" s="484"/>
      <c r="H127" s="484">
        <f t="shared" ref="H127:J127" si="25">SUM(H123:H126)</f>
        <v>0</v>
      </c>
      <c r="I127" s="484"/>
      <c r="J127" s="484">
        <f t="shared" si="25"/>
        <v>8458</v>
      </c>
      <c r="K127" s="280">
        <f t="shared" si="23"/>
        <v>8458</v>
      </c>
      <c r="L127" s="264"/>
      <c r="M127" s="297"/>
      <c r="N127" s="476"/>
      <c r="O127" s="265"/>
    </row>
    <row r="128" spans="1:15" s="271" customFormat="1" ht="12.75">
      <c r="B128" s="270"/>
      <c r="C128" s="269"/>
      <c r="D128" s="273"/>
      <c r="E128" s="394"/>
      <c r="F128" s="515"/>
      <c r="G128" s="272"/>
      <c r="H128" s="272"/>
      <c r="I128" s="272"/>
      <c r="J128" s="272"/>
      <c r="K128" s="274"/>
      <c r="L128" s="272"/>
      <c r="O128" s="265"/>
    </row>
    <row r="129" spans="1:14" s="2" customFormat="1" ht="12" customHeight="1">
      <c r="A129" s="204"/>
      <c r="B129" s="205" t="s">
        <v>31</v>
      </c>
      <c r="C129" s="213">
        <f>C18+C22+C37+C46+C58+C62+C94+C121+C127</f>
        <v>3571935.22</v>
      </c>
      <c r="D129" s="281">
        <f>D18+D22+D37+D46+D58+D62+D94+D121+D127</f>
        <v>3473234.5299999993</v>
      </c>
      <c r="E129" s="395">
        <f>E18+E22+E37+E46+E58+E62+E94+E121+E127</f>
        <v>3669532.71</v>
      </c>
      <c r="F129" s="281">
        <f>F18+F22+F37+F46+F58+F62+F94+F121+F127</f>
        <v>3786134.39</v>
      </c>
      <c r="G129" s="485"/>
      <c r="H129" s="485">
        <f>H18+H22+H37+H46+H58+H62+H94+H121+H127</f>
        <v>3758184.9828042798</v>
      </c>
      <c r="I129" s="485"/>
      <c r="J129" s="485">
        <f>J18+J22+J37+J46+J58+J62+J94+J121+J127</f>
        <v>5763877.71</v>
      </c>
      <c r="K129" s="485">
        <f>K18+K22+K37+K46+K58+K62+K94+K121+K127</f>
        <v>2005692.7271957202</v>
      </c>
      <c r="M129" s="297"/>
      <c r="N129" s="291"/>
    </row>
    <row r="130" spans="1:14" ht="12" customHeight="1">
      <c r="A130" s="207"/>
      <c r="B130" s="208"/>
      <c r="C130" s="240"/>
      <c r="D130" s="214"/>
      <c r="E130" s="389"/>
      <c r="F130" s="214"/>
      <c r="G130" s="203"/>
      <c r="H130" s="203"/>
      <c r="I130" s="203"/>
      <c r="J130" s="203"/>
      <c r="K130" s="203"/>
      <c r="N130" s="13"/>
    </row>
    <row r="131" spans="1:14" ht="12" customHeight="1">
      <c r="A131" s="207"/>
      <c r="B131" s="208"/>
      <c r="C131" s="240"/>
      <c r="D131" s="214"/>
      <c r="E131" s="389"/>
      <c r="F131" s="214"/>
      <c r="G131" s="203"/>
      <c r="H131" s="203"/>
      <c r="I131" s="203"/>
      <c r="J131" s="203"/>
      <c r="K131" s="203"/>
    </row>
    <row r="132" spans="1:14" ht="12" customHeight="1">
      <c r="A132" s="207"/>
      <c r="B132" s="208"/>
      <c r="C132" s="240"/>
      <c r="D132" s="214"/>
      <c r="E132" s="389"/>
      <c r="F132" s="214"/>
      <c r="G132" s="203"/>
      <c r="H132" s="203"/>
      <c r="I132" s="203"/>
      <c r="J132" s="203"/>
      <c r="K132" s="215"/>
    </row>
    <row r="133" spans="1:14" ht="12" customHeight="1">
      <c r="A133" s="207"/>
      <c r="B133" s="208"/>
      <c r="C133" s="240"/>
      <c r="D133" s="214"/>
      <c r="E133" s="389"/>
      <c r="F133" s="214"/>
      <c r="G133" s="203"/>
      <c r="H133" s="203"/>
      <c r="I133" s="203"/>
      <c r="J133" s="203"/>
      <c r="K133" s="203"/>
    </row>
    <row r="134" spans="1:14" ht="12" customHeight="1">
      <c r="A134" s="207"/>
      <c r="B134" s="208"/>
      <c r="C134" s="240"/>
      <c r="D134" s="214"/>
      <c r="E134" s="389"/>
      <c r="F134" s="214"/>
      <c r="G134" s="203"/>
      <c r="H134" s="203"/>
      <c r="I134" s="203"/>
      <c r="J134" s="203"/>
      <c r="K134" s="203"/>
    </row>
    <row r="135" spans="1:14" ht="12" customHeight="1">
      <c r="A135" s="207"/>
      <c r="B135" s="208"/>
      <c r="C135" s="240"/>
      <c r="D135" s="214"/>
      <c r="E135" s="389"/>
      <c r="F135" s="214"/>
      <c r="G135" s="203"/>
      <c r="H135" s="203"/>
      <c r="I135" s="203"/>
      <c r="J135" s="203"/>
      <c r="K135" s="208"/>
    </row>
    <row r="136" spans="1:14" ht="12" customHeight="1">
      <c r="A136" s="207"/>
      <c r="B136" s="208"/>
      <c r="C136" s="240"/>
      <c r="D136" s="214"/>
      <c r="E136" s="389"/>
      <c r="F136" s="214"/>
      <c r="G136" s="203"/>
      <c r="H136" s="203"/>
      <c r="I136" s="203"/>
      <c r="J136" s="203"/>
      <c r="K136" s="208"/>
    </row>
    <row r="137" spans="1:14" ht="12" customHeight="1">
      <c r="A137" s="207"/>
      <c r="B137" s="208"/>
      <c r="C137" s="240"/>
      <c r="D137" s="214"/>
      <c r="E137" s="389"/>
      <c r="F137" s="214"/>
      <c r="G137" s="203"/>
      <c r="H137" s="203"/>
      <c r="I137" s="203"/>
      <c r="J137" s="203"/>
      <c r="K137" s="208"/>
    </row>
    <row r="138" spans="1:14" ht="12" customHeight="1">
      <c r="A138" s="207"/>
      <c r="B138" s="208"/>
      <c r="C138" s="240"/>
      <c r="D138" s="214"/>
      <c r="E138" s="389"/>
      <c r="F138" s="214"/>
      <c r="G138" s="203"/>
      <c r="H138" s="203"/>
      <c r="I138" s="203"/>
      <c r="J138" s="203"/>
      <c r="K138" s="208"/>
    </row>
    <row r="139" spans="1:14" ht="12" customHeight="1">
      <c r="A139" s="207"/>
      <c r="B139" s="208"/>
      <c r="C139" s="240"/>
      <c r="D139" s="214"/>
      <c r="E139" s="389"/>
      <c r="F139" s="214"/>
      <c r="G139" s="203"/>
      <c r="H139" s="203"/>
      <c r="I139" s="203"/>
      <c r="J139" s="203"/>
      <c r="K139" s="208"/>
    </row>
    <row r="140" spans="1:14" ht="12" customHeight="1">
      <c r="A140" s="207"/>
      <c r="B140" s="208"/>
      <c r="C140" s="240"/>
      <c r="D140" s="214"/>
      <c r="E140" s="389"/>
      <c r="F140" s="214"/>
      <c r="G140" s="203"/>
      <c r="H140" s="203"/>
      <c r="I140" s="203"/>
      <c r="J140" s="203"/>
      <c r="K140" s="208"/>
    </row>
    <row r="141" spans="1:14" ht="12" customHeight="1">
      <c r="A141" s="207"/>
      <c r="B141" s="208"/>
      <c r="C141" s="240"/>
      <c r="D141" s="214"/>
      <c r="E141" s="389"/>
      <c r="F141" s="214"/>
      <c r="G141" s="203"/>
      <c r="H141" s="203"/>
      <c r="I141" s="203"/>
      <c r="J141" s="203"/>
      <c r="K141" s="208"/>
    </row>
    <row r="142" spans="1:14" ht="12" customHeight="1">
      <c r="A142" s="207"/>
      <c r="B142" s="208"/>
      <c r="C142" s="240"/>
      <c r="D142" s="214"/>
      <c r="E142" s="389"/>
      <c r="F142" s="214"/>
      <c r="G142" s="203"/>
      <c r="H142" s="203"/>
      <c r="I142" s="203"/>
      <c r="J142" s="203"/>
      <c r="K142" s="208"/>
    </row>
    <row r="143" spans="1:14" ht="12" customHeight="1">
      <c r="A143" s="207"/>
      <c r="B143" s="208"/>
      <c r="C143" s="240"/>
      <c r="D143" s="214"/>
      <c r="E143" s="389"/>
      <c r="F143" s="214"/>
      <c r="G143" s="203"/>
      <c r="H143" s="203"/>
      <c r="I143" s="203"/>
      <c r="J143" s="203"/>
      <c r="K143" s="208"/>
    </row>
    <row r="144" spans="1:14" ht="12" customHeight="1">
      <c r="A144" s="207"/>
      <c r="B144" s="208"/>
      <c r="C144" s="240"/>
      <c r="D144" s="214"/>
      <c r="E144" s="389"/>
      <c r="F144" s="214"/>
      <c r="G144" s="203"/>
      <c r="H144" s="203"/>
      <c r="I144" s="203"/>
      <c r="J144" s="203"/>
      <c r="K144" s="208"/>
    </row>
    <row r="145" spans="1:11" ht="12" customHeight="1">
      <c r="A145" s="207"/>
      <c r="B145" s="208"/>
      <c r="C145" s="240"/>
      <c r="D145" s="214"/>
      <c r="E145" s="389"/>
      <c r="F145" s="214"/>
      <c r="G145" s="203"/>
      <c r="H145" s="203"/>
      <c r="I145" s="203"/>
      <c r="J145" s="203"/>
      <c r="K145" s="208"/>
    </row>
    <row r="146" spans="1:11" ht="12" customHeight="1">
      <c r="A146" s="207"/>
      <c r="B146" s="208"/>
      <c r="C146" s="240"/>
      <c r="D146" s="214"/>
      <c r="E146" s="389"/>
      <c r="F146" s="214"/>
      <c r="G146" s="203"/>
      <c r="H146" s="203"/>
      <c r="I146" s="203"/>
      <c r="J146" s="203"/>
      <c r="K146" s="208"/>
    </row>
    <row r="147" spans="1:11" ht="12" customHeight="1">
      <c r="A147" s="207"/>
      <c r="B147" s="208"/>
      <c r="C147" s="240"/>
      <c r="D147" s="214"/>
      <c r="E147" s="389"/>
      <c r="F147" s="214"/>
      <c r="G147" s="203"/>
      <c r="H147" s="203"/>
      <c r="I147" s="203"/>
      <c r="J147" s="203"/>
      <c r="K147" s="208"/>
    </row>
    <row r="148" spans="1:11" ht="12" customHeight="1">
      <c r="A148" s="207"/>
      <c r="B148" s="208"/>
      <c r="C148" s="240"/>
      <c r="D148" s="214"/>
      <c r="E148" s="389"/>
      <c r="F148" s="214"/>
      <c r="G148" s="203"/>
      <c r="H148" s="203"/>
      <c r="I148" s="203"/>
      <c r="J148" s="203"/>
      <c r="K148" s="208"/>
    </row>
    <row r="149" spans="1:11" ht="12" customHeight="1">
      <c r="A149" s="207"/>
      <c r="B149" s="208"/>
      <c r="C149" s="240"/>
      <c r="D149" s="214"/>
      <c r="E149" s="389"/>
      <c r="F149" s="214"/>
      <c r="G149" s="203"/>
      <c r="H149" s="203"/>
      <c r="I149" s="203"/>
      <c r="J149" s="203"/>
      <c r="K149" s="208"/>
    </row>
    <row r="150" spans="1:11" ht="12" customHeight="1">
      <c r="A150" s="207"/>
      <c r="B150" s="208"/>
      <c r="C150" s="240"/>
      <c r="D150" s="214"/>
      <c r="E150" s="389"/>
      <c r="F150" s="214"/>
      <c r="G150" s="203"/>
      <c r="H150" s="203"/>
      <c r="I150" s="203"/>
      <c r="J150" s="203"/>
      <c r="K150" s="208"/>
    </row>
    <row r="151" spans="1:11" ht="12" customHeight="1">
      <c r="A151" s="207"/>
      <c r="B151" s="208"/>
      <c r="C151" s="240"/>
      <c r="D151" s="214"/>
      <c r="E151" s="389"/>
      <c r="F151" s="214"/>
      <c r="G151" s="203"/>
      <c r="H151" s="203"/>
      <c r="I151" s="203"/>
      <c r="J151" s="203"/>
      <c r="K151" s="208"/>
    </row>
    <row r="152" spans="1:11" ht="12" customHeight="1">
      <c r="A152" s="207"/>
      <c r="B152" s="208"/>
      <c r="C152" s="240"/>
      <c r="D152" s="214"/>
      <c r="E152" s="389"/>
      <c r="F152" s="214"/>
      <c r="G152" s="203"/>
      <c r="H152" s="203"/>
      <c r="I152" s="203"/>
      <c r="J152" s="203"/>
      <c r="K152" s="208"/>
    </row>
    <row r="153" spans="1:11" ht="12" customHeight="1">
      <c r="A153" s="207"/>
      <c r="B153" s="208"/>
      <c r="C153" s="240"/>
      <c r="D153" s="214"/>
      <c r="E153" s="389"/>
      <c r="F153" s="214"/>
      <c r="G153" s="203"/>
      <c r="H153" s="203"/>
      <c r="I153" s="203"/>
      <c r="J153" s="203"/>
      <c r="K153" s="208"/>
    </row>
    <row r="154" spans="1:11" ht="12" customHeight="1">
      <c r="A154" s="207"/>
      <c r="B154" s="208"/>
      <c r="C154" s="240"/>
      <c r="D154" s="214"/>
      <c r="E154" s="389"/>
      <c r="F154" s="214"/>
      <c r="G154" s="203"/>
      <c r="H154" s="203"/>
      <c r="I154" s="203"/>
      <c r="J154" s="203"/>
      <c r="K154" s="208"/>
    </row>
    <row r="155" spans="1:11" ht="12" customHeight="1">
      <c r="A155" s="207"/>
      <c r="B155" s="208"/>
      <c r="C155" s="240"/>
      <c r="D155" s="214"/>
      <c r="E155" s="389"/>
      <c r="F155" s="214"/>
      <c r="G155" s="203"/>
      <c r="H155" s="203"/>
      <c r="I155" s="203"/>
      <c r="J155" s="203"/>
      <c r="K155" s="208"/>
    </row>
    <row r="156" spans="1:11" ht="12" customHeight="1">
      <c r="A156" s="207"/>
      <c r="B156" s="208"/>
      <c r="C156" s="240"/>
      <c r="D156" s="214"/>
      <c r="E156" s="389"/>
      <c r="F156" s="214"/>
      <c r="G156" s="203"/>
      <c r="H156" s="203"/>
      <c r="I156" s="203"/>
      <c r="J156" s="203"/>
      <c r="K156" s="208"/>
    </row>
    <row r="157" spans="1:11" ht="12" customHeight="1">
      <c r="A157" s="207"/>
      <c r="B157" s="208"/>
      <c r="C157" s="240"/>
      <c r="D157" s="214"/>
      <c r="E157" s="389"/>
      <c r="F157" s="214"/>
      <c r="G157" s="203"/>
      <c r="H157" s="203"/>
      <c r="I157" s="203"/>
      <c r="J157" s="203"/>
      <c r="K157" s="208"/>
    </row>
    <row r="158" spans="1:11" ht="12" customHeight="1">
      <c r="A158" s="207"/>
      <c r="B158" s="208"/>
      <c r="C158" s="240"/>
      <c r="D158" s="214"/>
      <c r="E158" s="389"/>
      <c r="F158" s="214"/>
      <c r="G158" s="203"/>
      <c r="H158" s="203"/>
      <c r="I158" s="203"/>
      <c r="J158" s="203"/>
      <c r="K158" s="208"/>
    </row>
    <row r="159" spans="1:11" ht="12" customHeight="1">
      <c r="A159" s="207"/>
      <c r="B159" s="208"/>
      <c r="C159" s="240"/>
      <c r="D159" s="214"/>
      <c r="E159" s="389"/>
      <c r="F159" s="214"/>
      <c r="G159" s="203"/>
      <c r="H159" s="203"/>
      <c r="I159" s="203"/>
      <c r="J159" s="203"/>
      <c r="K159" s="208"/>
    </row>
    <row r="160" spans="1:11" ht="12" customHeight="1">
      <c r="A160" s="207"/>
      <c r="B160" s="208"/>
      <c r="C160" s="240"/>
      <c r="D160" s="214"/>
      <c r="E160" s="389"/>
      <c r="F160" s="214"/>
      <c r="G160" s="203"/>
      <c r="H160" s="203"/>
      <c r="I160" s="203"/>
      <c r="J160" s="203"/>
      <c r="K160" s="208"/>
    </row>
    <row r="161" spans="1:11" ht="12" customHeight="1">
      <c r="A161" s="207"/>
      <c r="B161" s="208"/>
      <c r="C161" s="240"/>
      <c r="D161" s="214"/>
      <c r="E161" s="389"/>
      <c r="F161" s="214"/>
      <c r="G161" s="203"/>
      <c r="H161" s="203"/>
      <c r="I161" s="203"/>
      <c r="J161" s="203"/>
      <c r="K161" s="208"/>
    </row>
    <row r="162" spans="1:11" ht="12" customHeight="1">
      <c r="A162" s="207"/>
      <c r="B162" s="208"/>
      <c r="C162" s="240"/>
      <c r="D162" s="214"/>
      <c r="E162" s="389"/>
      <c r="F162" s="214"/>
      <c r="G162" s="203"/>
      <c r="H162" s="203"/>
      <c r="I162" s="203"/>
      <c r="J162" s="203"/>
      <c r="K162" s="208"/>
    </row>
    <row r="163" spans="1:11" ht="12" customHeight="1">
      <c r="A163" s="207"/>
      <c r="B163" s="208"/>
      <c r="C163" s="240"/>
      <c r="D163" s="214"/>
      <c r="E163" s="389"/>
      <c r="F163" s="214"/>
      <c r="G163" s="203"/>
      <c r="H163" s="203"/>
      <c r="I163" s="203"/>
      <c r="J163" s="203"/>
      <c r="K163" s="208"/>
    </row>
    <row r="164" spans="1:11" ht="12" customHeight="1">
      <c r="A164" s="207"/>
      <c r="B164" s="208"/>
      <c r="C164" s="240"/>
      <c r="D164" s="214"/>
      <c r="E164" s="389"/>
      <c r="F164" s="214"/>
      <c r="G164" s="203"/>
      <c r="H164" s="203"/>
      <c r="I164" s="203"/>
      <c r="J164" s="203"/>
      <c r="K164" s="208"/>
    </row>
    <row r="165" spans="1:11" ht="12" customHeight="1">
      <c r="A165" s="207"/>
      <c r="B165" s="208"/>
      <c r="C165" s="240"/>
      <c r="D165" s="214"/>
      <c r="E165" s="389"/>
      <c r="F165" s="214"/>
      <c r="G165" s="203"/>
      <c r="H165" s="203"/>
      <c r="I165" s="203"/>
      <c r="J165" s="203"/>
      <c r="K165" s="208"/>
    </row>
    <row r="166" spans="1:11" ht="12" customHeight="1">
      <c r="A166" s="207"/>
      <c r="B166" s="208"/>
      <c r="C166" s="240"/>
      <c r="D166" s="214"/>
      <c r="E166" s="389"/>
      <c r="F166" s="214"/>
      <c r="G166" s="203"/>
      <c r="H166" s="203"/>
      <c r="I166" s="203"/>
      <c r="J166" s="203"/>
      <c r="K166" s="208"/>
    </row>
    <row r="167" spans="1:11" ht="12" customHeight="1">
      <c r="A167" s="207"/>
      <c r="B167" s="208"/>
      <c r="C167" s="240"/>
      <c r="D167" s="214"/>
      <c r="E167" s="389"/>
      <c r="F167" s="214"/>
      <c r="G167" s="203"/>
      <c r="H167" s="203"/>
      <c r="I167" s="203"/>
      <c r="J167" s="203"/>
      <c r="K167" s="208"/>
    </row>
    <row r="168" spans="1:11" ht="12" customHeight="1">
      <c r="A168" s="207"/>
      <c r="B168" s="208"/>
      <c r="C168" s="240"/>
      <c r="D168" s="214"/>
      <c r="E168" s="389"/>
      <c r="F168" s="214"/>
      <c r="G168" s="203"/>
      <c r="H168" s="203"/>
      <c r="I168" s="203"/>
      <c r="J168" s="203"/>
      <c r="K168" s="208"/>
    </row>
    <row r="169" spans="1:11" ht="12" customHeight="1">
      <c r="A169" s="207"/>
      <c r="B169" s="208"/>
      <c r="C169" s="240"/>
      <c r="D169" s="214"/>
      <c r="E169" s="389"/>
      <c r="F169" s="214"/>
      <c r="G169" s="203"/>
      <c r="H169" s="203"/>
      <c r="I169" s="203"/>
      <c r="J169" s="203"/>
      <c r="K169" s="208"/>
    </row>
    <row r="170" spans="1:11" ht="12" customHeight="1">
      <c r="A170" s="207"/>
      <c r="B170" s="208"/>
      <c r="C170" s="240"/>
      <c r="D170" s="214"/>
      <c r="E170" s="389"/>
      <c r="F170" s="214"/>
      <c r="G170" s="203"/>
      <c r="H170" s="203"/>
      <c r="I170" s="203"/>
      <c r="J170" s="203"/>
      <c r="K170" s="208"/>
    </row>
    <row r="171" spans="1:11" ht="12" customHeight="1">
      <c r="A171" s="207"/>
      <c r="B171" s="208"/>
      <c r="C171" s="240"/>
      <c r="D171" s="214"/>
      <c r="E171" s="389"/>
      <c r="F171" s="214"/>
      <c r="G171" s="203"/>
      <c r="H171" s="203"/>
      <c r="I171" s="203"/>
      <c r="J171" s="203"/>
      <c r="K171" s="208"/>
    </row>
    <row r="172" spans="1:11" ht="12" customHeight="1">
      <c r="A172" s="207"/>
      <c r="B172" s="208"/>
      <c r="C172" s="240"/>
      <c r="D172" s="214"/>
      <c r="E172" s="389"/>
      <c r="F172" s="214"/>
      <c r="G172" s="203"/>
      <c r="H172" s="203"/>
      <c r="I172" s="203"/>
      <c r="J172" s="203"/>
      <c r="K172" s="208"/>
    </row>
    <row r="173" spans="1:11" ht="12" customHeight="1">
      <c r="A173" s="207"/>
      <c r="B173" s="208"/>
      <c r="C173" s="240"/>
      <c r="D173" s="214"/>
      <c r="E173" s="389"/>
      <c r="F173" s="214"/>
      <c r="G173" s="203"/>
      <c r="H173" s="203"/>
      <c r="I173" s="203"/>
      <c r="J173" s="203"/>
      <c r="K173" s="208"/>
    </row>
    <row r="174" spans="1:11" ht="12" customHeight="1">
      <c r="A174" s="207"/>
      <c r="B174" s="208"/>
      <c r="C174" s="240"/>
      <c r="D174" s="214"/>
      <c r="E174" s="389"/>
      <c r="F174" s="214"/>
      <c r="G174" s="203"/>
      <c r="H174" s="203"/>
      <c r="I174" s="203"/>
      <c r="J174" s="203"/>
      <c r="K174" s="208"/>
    </row>
    <row r="175" spans="1:11" ht="12" customHeight="1">
      <c r="A175" s="207"/>
      <c r="B175" s="208"/>
      <c r="C175" s="240"/>
      <c r="D175" s="214"/>
      <c r="E175" s="389"/>
      <c r="F175" s="214"/>
      <c r="G175" s="203"/>
      <c r="H175" s="203"/>
      <c r="I175" s="203"/>
      <c r="J175" s="203"/>
      <c r="K175" s="208"/>
    </row>
    <row r="176" spans="1:11" ht="12" customHeight="1">
      <c r="A176" s="207"/>
      <c r="B176" s="208"/>
      <c r="C176" s="240"/>
      <c r="D176" s="214"/>
      <c r="E176" s="389"/>
      <c r="F176" s="214"/>
      <c r="G176" s="203"/>
      <c r="H176" s="203"/>
      <c r="I176" s="203"/>
      <c r="J176" s="203"/>
      <c r="K176" s="208"/>
    </row>
    <row r="177" spans="1:11" ht="12" customHeight="1">
      <c r="A177" s="207"/>
      <c r="B177" s="208"/>
      <c r="C177" s="240"/>
      <c r="D177" s="214"/>
      <c r="E177" s="389"/>
      <c r="F177" s="214"/>
      <c r="G177" s="203"/>
      <c r="H177" s="203"/>
      <c r="I177" s="203"/>
      <c r="J177" s="203"/>
      <c r="K177" s="208"/>
    </row>
    <row r="178" spans="1:11" ht="12" customHeight="1">
      <c r="A178" s="207"/>
      <c r="B178" s="208"/>
      <c r="C178" s="240"/>
      <c r="D178" s="214"/>
      <c r="E178" s="389"/>
      <c r="F178" s="214"/>
      <c r="G178" s="203"/>
      <c r="H178" s="203"/>
      <c r="I178" s="203"/>
      <c r="J178" s="203"/>
      <c r="K178" s="208"/>
    </row>
    <row r="179" spans="1:11" ht="12" customHeight="1">
      <c r="A179" s="207"/>
      <c r="B179" s="208"/>
      <c r="C179" s="240"/>
      <c r="D179" s="214"/>
      <c r="E179" s="389"/>
      <c r="F179" s="214"/>
      <c r="G179" s="203"/>
      <c r="H179" s="203"/>
      <c r="I179" s="203"/>
      <c r="J179" s="203"/>
      <c r="K179" s="208"/>
    </row>
    <row r="180" spans="1:11" ht="12" customHeight="1">
      <c r="A180" s="207"/>
      <c r="B180" s="208"/>
      <c r="C180" s="240"/>
      <c r="D180" s="214"/>
      <c r="E180" s="389"/>
      <c r="F180" s="214"/>
      <c r="G180" s="203"/>
      <c r="H180" s="203"/>
      <c r="I180" s="203"/>
      <c r="J180" s="203"/>
      <c r="K180" s="208"/>
    </row>
    <row r="181" spans="1:11" ht="12" customHeight="1">
      <c r="A181" s="207"/>
      <c r="B181" s="208"/>
      <c r="C181" s="240"/>
      <c r="D181" s="214"/>
      <c r="E181" s="389"/>
      <c r="F181" s="214"/>
      <c r="G181" s="203"/>
      <c r="H181" s="203"/>
      <c r="I181" s="203"/>
      <c r="J181" s="203"/>
      <c r="K181" s="208"/>
    </row>
    <row r="182" spans="1:11" ht="12" customHeight="1">
      <c r="A182" s="207"/>
      <c r="B182" s="208"/>
      <c r="C182" s="240"/>
      <c r="D182" s="214"/>
      <c r="E182" s="389"/>
      <c r="F182" s="214"/>
      <c r="G182" s="203"/>
      <c r="H182" s="203"/>
      <c r="I182" s="203"/>
      <c r="J182" s="203"/>
      <c r="K182" s="208"/>
    </row>
    <row r="183" spans="1:11" ht="12" customHeight="1">
      <c r="A183" s="207"/>
      <c r="B183" s="208"/>
      <c r="C183" s="240"/>
      <c r="D183" s="214"/>
      <c r="E183" s="389"/>
      <c r="F183" s="214"/>
      <c r="G183" s="203"/>
      <c r="H183" s="203"/>
      <c r="I183" s="203"/>
      <c r="J183" s="203"/>
      <c r="K183" s="208"/>
    </row>
    <row r="184" spans="1:11" ht="12" customHeight="1">
      <c r="A184" s="207"/>
      <c r="B184" s="208"/>
      <c r="C184" s="240"/>
      <c r="D184" s="214"/>
      <c r="E184" s="389"/>
      <c r="F184" s="214"/>
      <c r="G184" s="203"/>
      <c r="H184" s="203"/>
      <c r="I184" s="203"/>
      <c r="J184" s="203"/>
      <c r="K184" s="208"/>
    </row>
    <row r="185" spans="1:11" ht="12" customHeight="1">
      <c r="A185" s="207"/>
      <c r="B185" s="208"/>
      <c r="C185" s="240"/>
      <c r="D185" s="214"/>
      <c r="E185" s="389"/>
      <c r="F185" s="214"/>
      <c r="G185" s="203"/>
      <c r="H185" s="203"/>
      <c r="I185" s="203"/>
      <c r="J185" s="203"/>
      <c r="K185" s="208"/>
    </row>
    <row r="186" spans="1:11" ht="12" customHeight="1">
      <c r="A186" s="207"/>
      <c r="B186" s="208"/>
      <c r="C186" s="240"/>
      <c r="D186" s="214"/>
      <c r="E186" s="389"/>
      <c r="F186" s="214"/>
      <c r="G186" s="203"/>
      <c r="H186" s="203"/>
      <c r="I186" s="203"/>
      <c r="J186" s="203"/>
      <c r="K186" s="208"/>
    </row>
    <row r="187" spans="1:11" ht="12" customHeight="1">
      <c r="A187" s="207"/>
      <c r="B187" s="208"/>
      <c r="C187" s="240"/>
      <c r="D187" s="214"/>
      <c r="E187" s="389"/>
      <c r="F187" s="214"/>
      <c r="G187" s="203"/>
      <c r="H187" s="203"/>
      <c r="I187" s="203"/>
      <c r="J187" s="203"/>
      <c r="K187" s="208"/>
    </row>
    <row r="188" spans="1:11" ht="12" customHeight="1">
      <c r="A188" s="207"/>
      <c r="B188" s="208"/>
      <c r="C188" s="240"/>
      <c r="D188" s="214"/>
      <c r="E188" s="389"/>
      <c r="F188" s="214"/>
      <c r="G188" s="203"/>
      <c r="H188" s="203"/>
      <c r="I188" s="203"/>
      <c r="J188" s="203"/>
      <c r="K188" s="208"/>
    </row>
    <row r="189" spans="1:11" ht="12" customHeight="1">
      <c r="A189" s="207"/>
      <c r="B189" s="208"/>
      <c r="C189" s="240"/>
      <c r="D189" s="214"/>
      <c r="E189" s="389"/>
      <c r="F189" s="214"/>
      <c r="G189" s="203"/>
      <c r="H189" s="203"/>
      <c r="I189" s="203"/>
      <c r="J189" s="203"/>
      <c r="K189" s="208"/>
    </row>
    <row r="190" spans="1:11" ht="12" customHeight="1">
      <c r="A190" s="207"/>
      <c r="B190" s="208"/>
      <c r="C190" s="240"/>
      <c r="D190" s="214"/>
      <c r="E190" s="389"/>
      <c r="F190" s="214"/>
      <c r="G190" s="203"/>
      <c r="H190" s="203"/>
      <c r="I190" s="203"/>
      <c r="J190" s="203"/>
      <c r="K190" s="208"/>
    </row>
    <row r="191" spans="1:11" ht="12" customHeight="1">
      <c r="A191" s="207"/>
      <c r="B191" s="208"/>
      <c r="C191" s="240"/>
      <c r="D191" s="214"/>
      <c r="E191" s="389"/>
      <c r="F191" s="214"/>
      <c r="G191" s="203"/>
      <c r="H191" s="203"/>
      <c r="I191" s="203"/>
      <c r="J191" s="203"/>
      <c r="K191" s="208"/>
    </row>
    <row r="192" spans="1:11" ht="12" customHeight="1">
      <c r="A192" s="207"/>
      <c r="B192" s="208"/>
      <c r="C192" s="240"/>
      <c r="D192" s="214"/>
      <c r="E192" s="389"/>
      <c r="F192" s="214"/>
      <c r="G192" s="203"/>
      <c r="H192" s="203"/>
      <c r="I192" s="203"/>
      <c r="J192" s="203"/>
      <c r="K192" s="208"/>
    </row>
    <row r="193" spans="1:11" ht="12" customHeight="1">
      <c r="A193" s="207"/>
      <c r="B193" s="208"/>
      <c r="C193" s="240"/>
      <c r="D193" s="214"/>
      <c r="E193" s="389"/>
      <c r="F193" s="214"/>
      <c r="G193" s="203"/>
      <c r="H193" s="203"/>
      <c r="I193" s="203"/>
      <c r="J193" s="203"/>
      <c r="K193" s="208"/>
    </row>
    <row r="194" spans="1:11" ht="12" customHeight="1">
      <c r="A194" s="207"/>
      <c r="B194" s="208"/>
      <c r="C194" s="240"/>
      <c r="D194" s="214"/>
      <c r="E194" s="389"/>
      <c r="F194" s="214"/>
      <c r="G194" s="203"/>
      <c r="H194" s="203"/>
      <c r="I194" s="203"/>
      <c r="J194" s="203"/>
      <c r="K194" s="208"/>
    </row>
    <row r="195" spans="1:11" ht="12" customHeight="1">
      <c r="A195" s="207"/>
      <c r="B195" s="208"/>
      <c r="C195" s="240"/>
      <c r="D195" s="214"/>
      <c r="E195" s="389"/>
      <c r="F195" s="214"/>
      <c r="G195" s="203"/>
      <c r="H195" s="203"/>
      <c r="I195" s="203"/>
      <c r="J195" s="203"/>
      <c r="K195" s="208"/>
    </row>
    <row r="196" spans="1:11" ht="12" customHeight="1">
      <c r="A196" s="207"/>
      <c r="B196" s="208"/>
      <c r="C196" s="240"/>
      <c r="D196" s="214"/>
      <c r="E196" s="389"/>
      <c r="F196" s="214"/>
      <c r="G196" s="203"/>
      <c r="H196" s="203"/>
      <c r="I196" s="203"/>
      <c r="J196" s="203"/>
      <c r="K196" s="208"/>
    </row>
    <row r="197" spans="1:11" ht="12" customHeight="1">
      <c r="A197" s="207"/>
      <c r="B197" s="208"/>
      <c r="C197" s="240"/>
      <c r="D197" s="214"/>
      <c r="E197" s="389"/>
      <c r="F197" s="214"/>
      <c r="G197" s="203"/>
      <c r="H197" s="203"/>
      <c r="I197" s="203"/>
      <c r="J197" s="203"/>
      <c r="K197" s="208"/>
    </row>
    <row r="198" spans="1:11" ht="12" customHeight="1">
      <c r="A198" s="207"/>
      <c r="B198" s="208"/>
      <c r="C198" s="240"/>
      <c r="D198" s="214"/>
      <c r="E198" s="389"/>
      <c r="F198" s="214"/>
      <c r="G198" s="203"/>
      <c r="H198" s="203"/>
      <c r="I198" s="203"/>
      <c r="J198" s="203"/>
      <c r="K198" s="208"/>
    </row>
    <row r="199" spans="1:11" ht="12" customHeight="1">
      <c r="A199" s="207"/>
      <c r="B199" s="208"/>
      <c r="C199" s="240"/>
      <c r="D199" s="214"/>
      <c r="E199" s="389"/>
      <c r="F199" s="214"/>
      <c r="G199" s="203"/>
      <c r="H199" s="203"/>
      <c r="I199" s="203"/>
      <c r="J199" s="203"/>
      <c r="K199" s="208"/>
    </row>
    <row r="200" spans="1:11" ht="12" customHeight="1">
      <c r="A200" s="207"/>
      <c r="B200" s="208"/>
      <c r="C200" s="240"/>
      <c r="D200" s="214"/>
      <c r="E200" s="389"/>
      <c r="F200" s="214"/>
      <c r="G200" s="203"/>
      <c r="H200" s="203"/>
      <c r="I200" s="203"/>
      <c r="J200" s="203"/>
      <c r="K200" s="208"/>
    </row>
    <row r="201" spans="1:11" ht="12" customHeight="1">
      <c r="A201" s="207"/>
      <c r="B201" s="208"/>
      <c r="C201" s="240"/>
      <c r="D201" s="214"/>
      <c r="E201" s="389"/>
      <c r="F201" s="214"/>
      <c r="G201" s="203"/>
      <c r="H201" s="203"/>
      <c r="I201" s="203"/>
      <c r="J201" s="203"/>
      <c r="K201" s="208"/>
    </row>
    <row r="202" spans="1:11" ht="12" customHeight="1">
      <c r="A202" s="207"/>
      <c r="B202" s="208"/>
      <c r="C202" s="240"/>
      <c r="D202" s="214"/>
      <c r="E202" s="389"/>
      <c r="F202" s="214"/>
      <c r="G202" s="203"/>
      <c r="H202" s="203"/>
      <c r="I202" s="203"/>
      <c r="J202" s="203"/>
      <c r="K202" s="208"/>
    </row>
    <row r="203" spans="1:11" ht="12" customHeight="1">
      <c r="A203" s="207"/>
      <c r="B203" s="208"/>
      <c r="C203" s="240"/>
      <c r="D203" s="214"/>
      <c r="E203" s="389"/>
      <c r="F203" s="214"/>
      <c r="G203" s="203"/>
      <c r="H203" s="203"/>
      <c r="I203" s="203"/>
      <c r="J203" s="203"/>
      <c r="K203" s="208"/>
    </row>
    <row r="204" spans="1:11" ht="12" customHeight="1">
      <c r="A204" s="207"/>
      <c r="B204" s="208"/>
      <c r="C204" s="240"/>
      <c r="D204" s="214"/>
      <c r="E204" s="389"/>
      <c r="F204" s="214"/>
      <c r="G204" s="203"/>
      <c r="H204" s="203"/>
      <c r="I204" s="203"/>
      <c r="J204" s="203"/>
      <c r="K204" s="208"/>
    </row>
    <row r="205" spans="1:11" ht="12" customHeight="1">
      <c r="A205" s="207"/>
      <c r="B205" s="208"/>
      <c r="C205" s="240"/>
      <c r="D205" s="214"/>
      <c r="E205" s="389"/>
      <c r="F205" s="214"/>
      <c r="G205" s="203"/>
      <c r="H205" s="203"/>
      <c r="I205" s="203"/>
      <c r="J205" s="203"/>
      <c r="K205" s="208"/>
    </row>
    <row r="206" spans="1:11" ht="12" customHeight="1">
      <c r="A206" s="207"/>
      <c r="B206" s="208"/>
      <c r="C206" s="240"/>
      <c r="D206" s="214"/>
      <c r="E206" s="389"/>
      <c r="F206" s="214"/>
      <c r="G206" s="203"/>
      <c r="H206" s="203"/>
      <c r="I206" s="203"/>
      <c r="J206" s="203"/>
      <c r="K206" s="208"/>
    </row>
  </sheetData>
  <sortState ref="A109:O117">
    <sortCondition ref="B109:B117"/>
  </sortState>
  <mergeCells count="6">
    <mergeCell ref="L64:L66"/>
    <mergeCell ref="A1:K1"/>
    <mergeCell ref="A2:K2"/>
    <mergeCell ref="A3:K3"/>
    <mergeCell ref="A4:K4"/>
    <mergeCell ref="A5:K5"/>
  </mergeCells>
  <printOptions horizontalCentered="1"/>
  <pageMargins left="0.2" right="0.2" top="0.75" bottom="0.75" header="0.3" footer="0.3"/>
  <pageSetup scale="58" orientation="portrait" r:id="rId1"/>
  <rowBreaks count="1" manualBreakCount="1">
    <brk id="9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36"/>
  <sheetViews>
    <sheetView zoomScale="87" zoomScaleNormal="87" workbookViewId="0">
      <pane xSplit="2" ySplit="8" topLeftCell="D379" activePane="bottomRight" state="frozen"/>
      <selection pane="topRight" activeCell="C1" sqref="C1"/>
      <selection pane="bottomLeft" activeCell="A9" sqref="A9"/>
      <selection pane="bottomRight" activeCell="A389" sqref="A389"/>
    </sheetView>
  </sheetViews>
  <sheetFormatPr defaultColWidth="8.85546875" defaultRowHeight="15.75"/>
  <cols>
    <col min="1" max="1" width="15.7109375" style="164" customWidth="1"/>
    <col min="2" max="2" width="61.5703125" style="164" bestFit="1" customWidth="1"/>
    <col min="3" max="3" width="14.85546875" style="182" hidden="1" customWidth="1"/>
    <col min="4" max="4" width="14.5703125" style="182" bestFit="1" customWidth="1"/>
    <col min="5" max="5" width="14.5703125" style="182" customWidth="1"/>
    <col min="6" max="6" width="1.140625" style="182" customWidth="1"/>
    <col min="7" max="7" width="15.5703125" style="182" bestFit="1" customWidth="1"/>
    <col min="8" max="8" width="1.140625" style="168" customWidth="1"/>
    <col min="9" max="9" width="15.5703125" style="492" hidden="1" customWidth="1"/>
    <col min="10" max="10" width="15.5703125" style="168" customWidth="1"/>
    <col min="11" max="11" width="2.5703125" style="168" customWidth="1"/>
    <col min="12" max="12" width="15.5703125" style="168" customWidth="1"/>
    <col min="13" max="13" width="15.85546875" style="169" bestFit="1" customWidth="1"/>
    <col min="14" max="14" width="26.42578125" style="164" hidden="1" customWidth="1"/>
    <col min="15" max="15" width="8.85546875" style="164"/>
    <col min="16" max="16" width="24.42578125" style="182" bestFit="1" customWidth="1"/>
    <col min="17" max="17" width="13" style="164" customWidth="1"/>
    <col min="18" max="18" width="9.5703125" style="164" bestFit="1" customWidth="1"/>
    <col min="19" max="16384" width="8.85546875" style="164"/>
  </cols>
  <sheetData>
    <row r="1" spans="1:14">
      <c r="A1" s="538" t="str">
        <f>Summary!A1</f>
        <v>LITCHFIELD COMMUNITY SCHOOLS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4">
      <c r="A2" s="538" t="str">
        <f>Summary!A3</f>
        <v>General Education Fund Budget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</row>
    <row r="3" spans="1:14">
      <c r="A3" s="538" t="s">
        <v>47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</row>
    <row r="4" spans="1:14">
      <c r="A4" s="538" t="s">
        <v>1337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</row>
    <row r="5" spans="1:14">
      <c r="A5" s="539" t="str">
        <f>Summary!A5</f>
        <v>AMENDED 4/26/2022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</row>
    <row r="6" spans="1:14">
      <c r="A6" s="165"/>
      <c r="B6" s="165"/>
      <c r="C6" s="227"/>
      <c r="D6" s="227"/>
      <c r="E6" s="227"/>
      <c r="F6" s="227"/>
      <c r="G6" s="227"/>
      <c r="H6" s="286"/>
      <c r="I6" s="488"/>
      <c r="J6" s="286"/>
      <c r="K6" s="286"/>
      <c r="L6" s="286"/>
      <c r="M6" s="286"/>
    </row>
    <row r="7" spans="1:14" ht="87" customHeight="1" thickBot="1">
      <c r="A7" s="218" t="s">
        <v>26</v>
      </c>
      <c r="B7" s="166" t="s">
        <v>25</v>
      </c>
      <c r="C7" s="228" t="str">
        <f>Summary!D7</f>
        <v>2017/2018 Actual</v>
      </c>
      <c r="D7" s="282" t="str">
        <f>Summary!E7</f>
        <v>2018/2019 Actual</v>
      </c>
      <c r="E7" s="282" t="str">
        <f>Summary!F7</f>
        <v>2019/2020 Actual</v>
      </c>
      <c r="F7" s="282"/>
      <c r="G7" s="282" t="str">
        <f>Summary!G7</f>
        <v>2020/2021 Actual</v>
      </c>
      <c r="H7" s="287">
        <f>Summary!H7</f>
        <v>0</v>
      </c>
      <c r="I7" s="489" t="e">
        <f>Summary!#REF!</f>
        <v>#REF!</v>
      </c>
      <c r="J7" s="287" t="str">
        <f>Summary!J7</f>
        <v xml:space="preserve">2021-2022 Approved Budget </v>
      </c>
      <c r="K7" s="287"/>
      <c r="L7" s="287" t="str">
        <f>Summary!L7</f>
        <v xml:space="preserve">2021-2022 Amended Budget </v>
      </c>
      <c r="M7" s="287" t="str">
        <f>Summary!M7</f>
        <v>Difference between      2021-2021 and              Amended 2021-2022</v>
      </c>
      <c r="N7" s="167" t="s">
        <v>110</v>
      </c>
    </row>
    <row r="9" spans="1:14">
      <c r="A9" s="196" t="s">
        <v>408</v>
      </c>
      <c r="B9" s="197" t="s">
        <v>409</v>
      </c>
      <c r="C9" s="219">
        <v>292428.23</v>
      </c>
      <c r="D9" s="219">
        <v>282333.25</v>
      </c>
      <c r="E9" s="219">
        <v>304686.08000000002</v>
      </c>
      <c r="F9" s="219"/>
      <c r="G9" s="219">
        <v>297908.63</v>
      </c>
      <c r="H9" s="260"/>
      <c r="I9" s="490">
        <v>302992.59000000003</v>
      </c>
      <c r="J9" s="260">
        <v>346635.31</v>
      </c>
      <c r="K9" s="260"/>
      <c r="L9" s="260">
        <v>171620</v>
      </c>
      <c r="M9" s="169">
        <f>L9-J9</f>
        <v>-175015.31</v>
      </c>
    </row>
    <row r="10" spans="1:14">
      <c r="A10" s="196" t="s">
        <v>1394</v>
      </c>
      <c r="B10" s="197" t="s">
        <v>410</v>
      </c>
      <c r="C10" s="219">
        <v>3989.4</v>
      </c>
      <c r="D10" s="219">
        <v>1440.47</v>
      </c>
      <c r="E10" s="219">
        <v>1298.72</v>
      </c>
      <c r="F10" s="219"/>
      <c r="G10" s="219">
        <v>2205.59</v>
      </c>
      <c r="H10" s="260"/>
      <c r="I10" s="490">
        <v>1600</v>
      </c>
      <c r="J10" s="260">
        <v>110</v>
      </c>
      <c r="K10" s="260"/>
      <c r="L10" s="260">
        <v>700</v>
      </c>
      <c r="M10" s="169">
        <f t="shared" ref="M10:M25" si="0">L10-J10</f>
        <v>590</v>
      </c>
    </row>
    <row r="11" spans="1:14">
      <c r="A11" s="196" t="s">
        <v>1330</v>
      </c>
      <c r="B11" s="197" t="s">
        <v>930</v>
      </c>
      <c r="C11" s="219"/>
      <c r="D11" s="219"/>
      <c r="E11" s="219">
        <v>214</v>
      </c>
      <c r="F11" s="219"/>
      <c r="G11" s="219">
        <v>744.48</v>
      </c>
      <c r="H11" s="260"/>
      <c r="I11" s="490">
        <v>1000</v>
      </c>
      <c r="J11" s="260">
        <v>1000</v>
      </c>
      <c r="K11" s="260"/>
      <c r="L11" s="260">
        <v>9000</v>
      </c>
      <c r="M11" s="169">
        <f t="shared" si="0"/>
        <v>8000</v>
      </c>
    </row>
    <row r="12" spans="1:14">
      <c r="A12" s="196" t="s">
        <v>1331</v>
      </c>
      <c r="B12" s="197" t="s">
        <v>931</v>
      </c>
      <c r="C12" s="219"/>
      <c r="D12" s="219"/>
      <c r="E12" s="219">
        <v>561.59</v>
      </c>
      <c r="F12" s="219"/>
      <c r="G12" s="219">
        <v>53.87</v>
      </c>
      <c r="H12" s="260"/>
      <c r="I12" s="490">
        <v>3000</v>
      </c>
      <c r="J12" s="260">
        <v>3000</v>
      </c>
      <c r="K12" s="260"/>
      <c r="L12" s="260">
        <v>3000</v>
      </c>
      <c r="M12" s="169">
        <f t="shared" si="0"/>
        <v>0</v>
      </c>
    </row>
    <row r="13" spans="1:14">
      <c r="A13" s="196" t="s">
        <v>411</v>
      </c>
      <c r="B13" s="197" t="s">
        <v>412</v>
      </c>
      <c r="C13" s="219">
        <v>14400</v>
      </c>
      <c r="D13" s="219">
        <v>13800</v>
      </c>
      <c r="E13" s="219">
        <v>6013.37</v>
      </c>
      <c r="F13" s="219"/>
      <c r="G13" s="219">
        <v>4284.3500000000004</v>
      </c>
      <c r="H13" s="260"/>
      <c r="I13" s="490">
        <v>6480</v>
      </c>
      <c r="J13" s="260">
        <v>2880</v>
      </c>
      <c r="K13" s="260"/>
      <c r="L13" s="260">
        <f>2100+60+3300</f>
        <v>5460</v>
      </c>
      <c r="M13" s="169">
        <f t="shared" si="0"/>
        <v>2580</v>
      </c>
    </row>
    <row r="14" spans="1:14">
      <c r="A14" s="196" t="s">
        <v>1430</v>
      </c>
      <c r="B14" s="197" t="s">
        <v>1431</v>
      </c>
      <c r="C14" s="219"/>
      <c r="D14" s="219"/>
      <c r="E14" s="219"/>
      <c r="F14" s="219"/>
      <c r="G14" s="219"/>
      <c r="H14" s="260"/>
      <c r="I14" s="490"/>
      <c r="J14" s="260"/>
      <c r="K14" s="260"/>
      <c r="L14" s="260">
        <v>12201</v>
      </c>
      <c r="M14" s="169">
        <f t="shared" si="0"/>
        <v>12201</v>
      </c>
    </row>
    <row r="15" spans="1:14">
      <c r="A15" s="196" t="s">
        <v>413</v>
      </c>
      <c r="B15" s="197" t="s">
        <v>414</v>
      </c>
      <c r="C15" s="219">
        <v>72611.990000000005</v>
      </c>
      <c r="D15" s="219">
        <v>93633.37</v>
      </c>
      <c r="E15" s="219">
        <v>71634.92</v>
      </c>
      <c r="F15" s="219"/>
      <c r="G15" s="219">
        <v>93909.85</v>
      </c>
      <c r="H15" s="260"/>
      <c r="I15" s="490">
        <f>80408.11+11000+15866.91</f>
        <v>107275.02</v>
      </c>
      <c r="J15" s="260">
        <v>106532.5</v>
      </c>
      <c r="K15" s="260"/>
      <c r="L15" s="260">
        <v>56891.51</v>
      </c>
      <c r="M15" s="169">
        <f t="shared" si="0"/>
        <v>-49640.99</v>
      </c>
    </row>
    <row r="16" spans="1:14">
      <c r="A16" s="196" t="s">
        <v>415</v>
      </c>
      <c r="B16" s="197" t="s">
        <v>416</v>
      </c>
      <c r="C16" s="219">
        <v>108571.34</v>
      </c>
      <c r="D16" s="219">
        <v>129604.08</v>
      </c>
      <c r="E16" s="398">
        <f>223.41+71.41+137104.09</f>
        <v>137398.91</v>
      </c>
      <c r="F16" s="398"/>
      <c r="G16" s="398">
        <f>130483.07+21.96+296.79</f>
        <v>130801.82</v>
      </c>
      <c r="H16" s="288"/>
      <c r="I16" s="491">
        <f>SUM(I9:I12)*I612+11615</f>
        <v>148259.79885200001</v>
      </c>
      <c r="J16" s="288">
        <f>SUM(J9:J12)*J612+11615</f>
        <v>166925.02326800002</v>
      </c>
      <c r="K16" s="288"/>
      <c r="L16" s="288">
        <f>SUM(L9:L12)*L612+17000</f>
        <v>98616.896000000008</v>
      </c>
      <c r="M16" s="169">
        <f t="shared" si="0"/>
        <v>-68308.127268000011</v>
      </c>
    </row>
    <row r="17" spans="1:16">
      <c r="A17" s="196" t="s">
        <v>417</v>
      </c>
      <c r="B17" s="197" t="s">
        <v>418</v>
      </c>
      <c r="C17" s="219">
        <v>20922.18</v>
      </c>
      <c r="D17" s="219">
        <v>20781.8</v>
      </c>
      <c r="E17" s="398">
        <f>22473.9+40.52+16.37</f>
        <v>22530.79</v>
      </c>
      <c r="F17" s="398"/>
      <c r="G17" s="398">
        <f>21878.55+3.69+55.24</f>
        <v>21937.48</v>
      </c>
      <c r="H17" s="288"/>
      <c r="I17" s="491">
        <f>SUM(I9:I13)*I613</f>
        <v>24103.053135000002</v>
      </c>
      <c r="J17" s="288">
        <f>SUM(J9:J13)*J613</f>
        <v>27052.336214999999</v>
      </c>
      <c r="K17" s="288"/>
      <c r="L17" s="288">
        <f>SUM(L9:L13)*L613</f>
        <v>14518.17</v>
      </c>
      <c r="M17" s="169">
        <f t="shared" si="0"/>
        <v>-12534.166214999999</v>
      </c>
    </row>
    <row r="18" spans="1:16">
      <c r="A18" s="196" t="s">
        <v>898</v>
      </c>
      <c r="B18" s="197" t="s">
        <v>427</v>
      </c>
      <c r="C18" s="219"/>
      <c r="D18" s="219"/>
      <c r="E18" s="219">
        <v>161.78</v>
      </c>
      <c r="F18" s="219"/>
      <c r="G18" s="219">
        <v>207.31</v>
      </c>
      <c r="H18" s="260"/>
      <c r="I18" s="490">
        <v>240</v>
      </c>
      <c r="J18" s="260">
        <v>240</v>
      </c>
      <c r="K18" s="260"/>
      <c r="L18" s="260">
        <v>240</v>
      </c>
      <c r="M18" s="169">
        <f t="shared" si="0"/>
        <v>0</v>
      </c>
    </row>
    <row r="19" spans="1:16">
      <c r="A19" s="196" t="s">
        <v>423</v>
      </c>
      <c r="B19" s="197" t="s">
        <v>424</v>
      </c>
      <c r="C19" s="219">
        <v>30793.89</v>
      </c>
      <c r="D19" s="219">
        <v>10292.967000000001</v>
      </c>
      <c r="E19" s="219">
        <v>18285.419999999998</v>
      </c>
      <c r="F19" s="219"/>
      <c r="G19" s="219">
        <v>9804.2099999999991</v>
      </c>
      <c r="H19" s="260"/>
      <c r="I19" s="490">
        <v>8300</v>
      </c>
      <c r="J19" s="260">
        <v>8300</v>
      </c>
      <c r="K19" s="260"/>
      <c r="L19" s="260">
        <v>25000</v>
      </c>
      <c r="M19" s="169">
        <f t="shared" si="0"/>
        <v>16700</v>
      </c>
    </row>
    <row r="20" spans="1:16">
      <c r="A20" s="196" t="s">
        <v>419</v>
      </c>
      <c r="B20" s="197" t="s">
        <v>420</v>
      </c>
      <c r="C20" s="219">
        <v>818.83</v>
      </c>
      <c r="D20" s="219">
        <v>659.95</v>
      </c>
      <c r="E20" s="219">
        <v>491.89</v>
      </c>
      <c r="F20" s="219"/>
      <c r="G20" s="219">
        <v>188.46</v>
      </c>
      <c r="H20" s="260"/>
      <c r="I20" s="490">
        <v>700</v>
      </c>
      <c r="J20" s="260">
        <v>700</v>
      </c>
      <c r="K20" s="260"/>
      <c r="L20" s="260">
        <v>700</v>
      </c>
      <c r="M20" s="169">
        <f t="shared" si="0"/>
        <v>0</v>
      </c>
    </row>
    <row r="21" spans="1:16">
      <c r="A21" s="196" t="s">
        <v>428</v>
      </c>
      <c r="B21" s="197" t="s">
        <v>429</v>
      </c>
      <c r="C21" s="219">
        <v>47.33</v>
      </c>
      <c r="D21" s="219">
        <v>200</v>
      </c>
      <c r="E21" s="219">
        <v>1911.56</v>
      </c>
      <c r="F21" s="219"/>
      <c r="G21" s="219">
        <v>1512.62</v>
      </c>
      <c r="H21" s="260"/>
      <c r="I21" s="490">
        <v>2500</v>
      </c>
      <c r="J21" s="260">
        <v>2500</v>
      </c>
      <c r="K21" s="260"/>
      <c r="L21" s="260">
        <v>2500</v>
      </c>
      <c r="M21" s="169">
        <f t="shared" si="0"/>
        <v>0</v>
      </c>
      <c r="N21" s="164" t="s">
        <v>203</v>
      </c>
    </row>
    <row r="22" spans="1:16">
      <c r="A22" s="196" t="s">
        <v>421</v>
      </c>
      <c r="B22" s="197" t="s">
        <v>422</v>
      </c>
      <c r="C22" s="219">
        <v>3275.58</v>
      </c>
      <c r="D22" s="219">
        <v>3396.32</v>
      </c>
      <c r="E22" s="219">
        <v>567.28</v>
      </c>
      <c r="F22" s="219"/>
      <c r="G22" s="219">
        <v>605.33000000000004</v>
      </c>
      <c r="H22" s="260"/>
      <c r="I22" s="490">
        <v>1000</v>
      </c>
      <c r="J22" s="260">
        <v>1000</v>
      </c>
      <c r="K22" s="260"/>
      <c r="L22" s="260">
        <v>1000</v>
      </c>
      <c r="M22" s="169">
        <f t="shared" si="0"/>
        <v>0</v>
      </c>
    </row>
    <row r="23" spans="1:16">
      <c r="A23" s="196" t="s">
        <v>425</v>
      </c>
      <c r="B23" s="197" t="s">
        <v>426</v>
      </c>
      <c r="C23" s="219">
        <v>4525.47</v>
      </c>
      <c r="D23" s="219">
        <v>4503.7700000000004</v>
      </c>
      <c r="E23" s="219">
        <v>5840.03</v>
      </c>
      <c r="F23" s="219"/>
      <c r="G23" s="219">
        <v>5412.43</v>
      </c>
      <c r="H23" s="260"/>
      <c r="I23" s="490">
        <v>7000</v>
      </c>
      <c r="J23" s="260">
        <v>7000</v>
      </c>
      <c r="K23" s="260"/>
      <c r="L23" s="260">
        <v>21000</v>
      </c>
      <c r="M23" s="169">
        <f t="shared" si="0"/>
        <v>14000</v>
      </c>
    </row>
    <row r="24" spans="1:16">
      <c r="A24" s="196" t="s">
        <v>1311</v>
      </c>
      <c r="B24" s="197" t="s">
        <v>430</v>
      </c>
      <c r="C24" s="219"/>
      <c r="D24" s="219"/>
      <c r="E24" s="219"/>
      <c r="F24" s="219"/>
      <c r="G24" s="219"/>
      <c r="H24" s="260"/>
      <c r="I24" s="490">
        <v>900</v>
      </c>
      <c r="J24" s="260">
        <v>900</v>
      </c>
      <c r="K24" s="260"/>
      <c r="L24" s="260">
        <v>900</v>
      </c>
      <c r="M24" s="169">
        <f t="shared" si="0"/>
        <v>0</v>
      </c>
    </row>
    <row r="25" spans="1:16">
      <c r="A25" s="196" t="s">
        <v>1459</v>
      </c>
      <c r="B25" s="197" t="s">
        <v>1446</v>
      </c>
      <c r="C25" s="219"/>
      <c r="D25" s="219"/>
      <c r="E25" s="219"/>
      <c r="F25" s="219"/>
      <c r="G25" s="219"/>
      <c r="H25" s="260"/>
      <c r="I25" s="490"/>
      <c r="J25" s="260"/>
      <c r="K25" s="260"/>
      <c r="L25" s="260">
        <v>10</v>
      </c>
      <c r="M25" s="169">
        <f t="shared" si="0"/>
        <v>10</v>
      </c>
    </row>
    <row r="27" spans="1:16" s="167" customFormat="1">
      <c r="A27" s="167" t="s">
        <v>0</v>
      </c>
      <c r="B27" s="167" t="s">
        <v>1</v>
      </c>
      <c r="C27" s="171">
        <f>SUM(C9:C26)</f>
        <v>552384.23999999976</v>
      </c>
      <c r="D27" s="283">
        <f>SUM(D9:D26)</f>
        <v>560645.97699999984</v>
      </c>
      <c r="E27" s="220">
        <f t="shared" ref="E27:J27" si="1">SUM(E9:E24)</f>
        <v>571596.3400000002</v>
      </c>
      <c r="F27" s="220"/>
      <c r="G27" s="220">
        <f t="shared" si="1"/>
        <v>569576.43000000005</v>
      </c>
      <c r="H27" s="171"/>
      <c r="I27" s="493">
        <f t="shared" si="1"/>
        <v>615350.46198700008</v>
      </c>
      <c r="J27" s="171">
        <f t="shared" si="1"/>
        <v>674775.16948300006</v>
      </c>
      <c r="K27" s="171"/>
      <c r="L27" s="171">
        <f>SUM(L9:L25)</f>
        <v>423357.576</v>
      </c>
      <c r="M27" s="171">
        <f>SUM(M9:M26)</f>
        <v>-251417.59348299995</v>
      </c>
      <c r="P27" s="229"/>
    </row>
    <row r="29" spans="1:16">
      <c r="A29" s="196" t="s">
        <v>431</v>
      </c>
      <c r="B29" s="197" t="s">
        <v>432</v>
      </c>
      <c r="C29" s="219">
        <v>166694.54</v>
      </c>
      <c r="D29" s="219">
        <v>129668.66</v>
      </c>
      <c r="E29" s="219">
        <v>132018.53</v>
      </c>
      <c r="F29" s="219"/>
      <c r="G29" s="219">
        <v>135239.82999999999</v>
      </c>
      <c r="H29" s="260"/>
      <c r="I29" s="490">
        <v>148507.72</v>
      </c>
      <c r="J29" s="260">
        <v>146357.44</v>
      </c>
      <c r="K29" s="260"/>
      <c r="L29" s="260">
        <v>127028.61</v>
      </c>
      <c r="M29" s="169">
        <f t="shared" ref="M29:M45" si="2">L29-J29</f>
        <v>-19328.830000000002</v>
      </c>
    </row>
    <row r="30" spans="1:16">
      <c r="A30" s="196" t="s">
        <v>435</v>
      </c>
      <c r="B30" s="197" t="s">
        <v>436</v>
      </c>
      <c r="C30" s="219">
        <v>1800</v>
      </c>
      <c r="D30" s="219">
        <v>750</v>
      </c>
      <c r="E30" s="219">
        <v>2058</v>
      </c>
      <c r="F30" s="219"/>
      <c r="G30" s="219">
        <v>1980</v>
      </c>
      <c r="H30" s="260"/>
      <c r="I30" s="490">
        <v>2880</v>
      </c>
      <c r="J30" s="260">
        <v>1440</v>
      </c>
      <c r="K30" s="260"/>
      <c r="L30" s="260">
        <v>240</v>
      </c>
      <c r="M30" s="169">
        <f t="shared" si="2"/>
        <v>-1200</v>
      </c>
    </row>
    <row r="31" spans="1:16">
      <c r="A31" s="196" t="s">
        <v>932</v>
      </c>
      <c r="B31" s="197" t="s">
        <v>934</v>
      </c>
      <c r="C31" s="219"/>
      <c r="D31" s="219"/>
      <c r="E31" s="219">
        <v>211.54</v>
      </c>
      <c r="F31" s="219"/>
      <c r="G31" s="219">
        <v>683.81</v>
      </c>
      <c r="H31" s="260"/>
      <c r="I31" s="490">
        <v>1000</v>
      </c>
      <c r="J31" s="260">
        <v>1000</v>
      </c>
      <c r="K31" s="260"/>
      <c r="L31" s="260">
        <v>24000</v>
      </c>
      <c r="M31" s="169">
        <f t="shared" si="2"/>
        <v>23000</v>
      </c>
    </row>
    <row r="32" spans="1:16">
      <c r="A32" s="196" t="s">
        <v>933</v>
      </c>
      <c r="B32" s="197" t="s">
        <v>935</v>
      </c>
      <c r="C32" s="219"/>
      <c r="D32" s="219"/>
      <c r="E32" s="219">
        <v>1628.08</v>
      </c>
      <c r="F32" s="219"/>
      <c r="G32" s="219">
        <v>0</v>
      </c>
      <c r="H32" s="260"/>
      <c r="I32" s="490">
        <f>1497*2</f>
        <v>2994</v>
      </c>
      <c r="J32" s="260">
        <f>1497*2</f>
        <v>2994</v>
      </c>
      <c r="K32" s="260"/>
      <c r="L32" s="260">
        <f t="shared" ref="L32" si="3">1497*2</f>
        <v>2994</v>
      </c>
      <c r="M32" s="169">
        <f t="shared" si="2"/>
        <v>0</v>
      </c>
    </row>
    <row r="33" spans="1:13">
      <c r="A33" s="196" t="s">
        <v>433</v>
      </c>
      <c r="B33" s="197" t="s">
        <v>434</v>
      </c>
      <c r="C33" s="219">
        <v>2004.4</v>
      </c>
      <c r="D33" s="219">
        <v>3455.89</v>
      </c>
      <c r="E33" s="219">
        <v>3077.52</v>
      </c>
      <c r="F33" s="219"/>
      <c r="G33" s="219">
        <v>1694.57</v>
      </c>
      <c r="H33" s="260"/>
      <c r="I33" s="490">
        <v>3200</v>
      </c>
      <c r="J33" s="260">
        <v>2830</v>
      </c>
      <c r="K33" s="260"/>
      <c r="L33" s="260">
        <v>1960</v>
      </c>
      <c r="M33" s="169">
        <f t="shared" si="2"/>
        <v>-870</v>
      </c>
    </row>
    <row r="34" spans="1:13">
      <c r="A34" s="196" t="s">
        <v>437</v>
      </c>
      <c r="B34" s="197" t="s">
        <v>438</v>
      </c>
      <c r="C34" s="219">
        <v>34337.18</v>
      </c>
      <c r="D34" s="219">
        <v>20982.75</v>
      </c>
      <c r="E34" s="219">
        <v>26322.81</v>
      </c>
      <c r="F34" s="219"/>
      <c r="G34" s="219">
        <v>31551.61</v>
      </c>
      <c r="H34" s="260"/>
      <c r="I34" s="490">
        <v>32224.68</v>
      </c>
      <c r="J34" s="260">
        <v>34546.959999999999</v>
      </c>
      <c r="K34" s="260"/>
      <c r="L34" s="260">
        <v>38118</v>
      </c>
      <c r="M34" s="169">
        <f t="shared" si="2"/>
        <v>3571.0400000000009</v>
      </c>
    </row>
    <row r="35" spans="1:13">
      <c r="A35" s="196" t="s">
        <v>443</v>
      </c>
      <c r="B35" s="197" t="s">
        <v>444</v>
      </c>
      <c r="C35" s="219">
        <v>190</v>
      </c>
      <c r="D35" s="219"/>
      <c r="E35" s="219"/>
      <c r="F35" s="219"/>
      <c r="G35" s="219">
        <v>571.42999999999995</v>
      </c>
      <c r="H35" s="260"/>
      <c r="I35" s="490">
        <v>500</v>
      </c>
      <c r="J35" s="260">
        <v>500</v>
      </c>
      <c r="K35" s="260"/>
      <c r="L35" s="260">
        <v>500</v>
      </c>
      <c r="M35" s="169">
        <f t="shared" si="2"/>
        <v>0</v>
      </c>
    </row>
    <row r="36" spans="1:13">
      <c r="A36" s="196" t="s">
        <v>439</v>
      </c>
      <c r="B36" s="197" t="s">
        <v>440</v>
      </c>
      <c r="C36" s="219">
        <v>70008.320000000007</v>
      </c>
      <c r="D36" s="219">
        <v>60168.43</v>
      </c>
      <c r="E36" s="398">
        <f>61165.22-1007.43+108.19</f>
        <v>60265.98</v>
      </c>
      <c r="F36" s="398"/>
      <c r="G36" s="398">
        <f>60484.37+268.08</f>
        <v>60752.450000000004</v>
      </c>
      <c r="H36" s="288"/>
      <c r="I36" s="491">
        <f>SUM(I29:I33)*I612+5100</f>
        <v>75319.985616000005</v>
      </c>
      <c r="J36" s="288">
        <f>SUM(J29:J33)*J612+5100</f>
        <v>73566.373632000003</v>
      </c>
      <c r="K36" s="288"/>
      <c r="L36" s="288">
        <f>SUM(L29:L33)*L612+6900</f>
        <v>76075.371707999991</v>
      </c>
      <c r="M36" s="169">
        <f t="shared" si="2"/>
        <v>2508.9980759999889</v>
      </c>
    </row>
    <row r="37" spans="1:13">
      <c r="A37" s="196" t="s">
        <v>441</v>
      </c>
      <c r="B37" s="197" t="s">
        <v>442</v>
      </c>
      <c r="C37" s="219">
        <v>11442.68</v>
      </c>
      <c r="D37" s="219">
        <v>10232.11</v>
      </c>
      <c r="E37" s="398">
        <f>9900.25+120.12+23.65</f>
        <v>10044.02</v>
      </c>
      <c r="F37" s="398"/>
      <c r="G37" s="398">
        <f>10027.39+51.82</f>
        <v>10079.209999999999</v>
      </c>
      <c r="H37" s="288"/>
      <c r="I37" s="491">
        <f>SUM(I29:I33)*I613</f>
        <v>12131.50158</v>
      </c>
      <c r="J37" s="288">
        <f>SUM(J29:J33)*J613</f>
        <v>11828.54016</v>
      </c>
      <c r="K37" s="288"/>
      <c r="L37" s="288">
        <f>SUM(L29:L33)*L613</f>
        <v>11951.029664999998</v>
      </c>
      <c r="M37" s="169">
        <f t="shared" si="2"/>
        <v>122.48950499999773</v>
      </c>
    </row>
    <row r="38" spans="1:13">
      <c r="A38" s="196" t="s">
        <v>899</v>
      </c>
      <c r="B38" s="197" t="s">
        <v>427</v>
      </c>
      <c r="C38" s="219"/>
      <c r="D38" s="219"/>
      <c r="E38" s="219">
        <v>120.34</v>
      </c>
      <c r="F38" s="219"/>
      <c r="G38" s="219">
        <v>164.2</v>
      </c>
      <c r="H38" s="260"/>
      <c r="I38" s="490">
        <v>185</v>
      </c>
      <c r="J38" s="260">
        <v>185</v>
      </c>
      <c r="K38" s="260"/>
      <c r="L38" s="260">
        <v>185</v>
      </c>
      <c r="M38" s="169">
        <f t="shared" si="2"/>
        <v>0</v>
      </c>
    </row>
    <row r="39" spans="1:13">
      <c r="A39" s="196" t="s">
        <v>449</v>
      </c>
      <c r="B39" s="197" t="s">
        <v>450</v>
      </c>
      <c r="C39" s="219">
        <v>3805.38</v>
      </c>
      <c r="D39" s="219">
        <v>6391.73</v>
      </c>
      <c r="E39" s="219">
        <v>3935.07</v>
      </c>
      <c r="F39" s="219"/>
      <c r="G39" s="219">
        <v>7887.42</v>
      </c>
      <c r="H39" s="260"/>
      <c r="I39" s="490">
        <v>4000</v>
      </c>
      <c r="J39" s="260">
        <v>4000</v>
      </c>
      <c r="K39" s="260"/>
      <c r="L39" s="260">
        <v>12000</v>
      </c>
      <c r="M39" s="169">
        <f t="shared" si="2"/>
        <v>8000</v>
      </c>
    </row>
    <row r="40" spans="1:13">
      <c r="A40" s="196" t="s">
        <v>487</v>
      </c>
      <c r="B40" s="197" t="s">
        <v>1357</v>
      </c>
      <c r="C40" s="219"/>
      <c r="D40" s="219"/>
      <c r="E40" s="219"/>
      <c r="F40" s="219"/>
      <c r="G40" s="219">
        <v>3097.5</v>
      </c>
      <c r="H40" s="260"/>
      <c r="I40" s="490">
        <v>0</v>
      </c>
      <c r="J40" s="260"/>
      <c r="K40" s="260"/>
      <c r="L40" s="260"/>
      <c r="M40" s="169">
        <f t="shared" si="2"/>
        <v>0</v>
      </c>
    </row>
    <row r="41" spans="1:13">
      <c r="A41" s="196" t="s">
        <v>453</v>
      </c>
      <c r="B41" s="197" t="s">
        <v>984</v>
      </c>
      <c r="C41" s="219"/>
      <c r="D41" s="219"/>
      <c r="E41" s="219"/>
      <c r="F41" s="219"/>
      <c r="G41" s="219">
        <v>940.8</v>
      </c>
      <c r="H41" s="260"/>
      <c r="I41" s="490"/>
      <c r="J41" s="260"/>
      <c r="K41" s="260"/>
      <c r="L41" s="260"/>
      <c r="M41" s="169">
        <f t="shared" si="2"/>
        <v>0</v>
      </c>
    </row>
    <row r="42" spans="1:13">
      <c r="A42" s="196" t="s">
        <v>445</v>
      </c>
      <c r="B42" s="197" t="s">
        <v>446</v>
      </c>
      <c r="C42" s="219">
        <v>162.16</v>
      </c>
      <c r="D42" s="219">
        <v>63.76</v>
      </c>
      <c r="E42" s="219">
        <v>47.55</v>
      </c>
      <c r="F42" s="219"/>
      <c r="G42" s="219">
        <v>359.85</v>
      </c>
      <c r="H42" s="260"/>
      <c r="I42" s="490">
        <v>500</v>
      </c>
      <c r="J42" s="260">
        <v>500</v>
      </c>
      <c r="K42" s="260"/>
      <c r="L42" s="260">
        <v>500</v>
      </c>
      <c r="M42" s="169">
        <f t="shared" si="2"/>
        <v>0</v>
      </c>
    </row>
    <row r="43" spans="1:13">
      <c r="A43" s="196" t="s">
        <v>455</v>
      </c>
      <c r="B43" s="197" t="s">
        <v>456</v>
      </c>
      <c r="C43" s="219">
        <v>82.83</v>
      </c>
      <c r="D43" s="219">
        <v>200</v>
      </c>
      <c r="E43" s="219">
        <v>1926.8</v>
      </c>
      <c r="F43" s="219"/>
      <c r="G43" s="219">
        <v>1512.63</v>
      </c>
      <c r="H43" s="260"/>
      <c r="I43" s="490">
        <v>2500</v>
      </c>
      <c r="J43" s="260">
        <v>2500</v>
      </c>
      <c r="K43" s="260"/>
      <c r="L43" s="260">
        <v>2500</v>
      </c>
      <c r="M43" s="169">
        <f t="shared" si="2"/>
        <v>0</v>
      </c>
    </row>
    <row r="44" spans="1:13">
      <c r="A44" s="196" t="s">
        <v>447</v>
      </c>
      <c r="B44" s="197" t="s">
        <v>448</v>
      </c>
      <c r="C44" s="219">
        <v>2976.47</v>
      </c>
      <c r="D44" s="219">
        <v>3298.77</v>
      </c>
      <c r="E44" s="219">
        <v>613.95000000000005</v>
      </c>
      <c r="F44" s="219"/>
      <c r="G44" s="219">
        <v>605.33000000000004</v>
      </c>
      <c r="H44" s="260"/>
      <c r="I44" s="490">
        <v>1000</v>
      </c>
      <c r="J44" s="260">
        <v>1000</v>
      </c>
      <c r="K44" s="260"/>
      <c r="L44" s="260">
        <v>1000</v>
      </c>
      <c r="M44" s="169">
        <f t="shared" si="2"/>
        <v>0</v>
      </c>
    </row>
    <row r="45" spans="1:13" ht="15" customHeight="1">
      <c r="A45" s="196" t="s">
        <v>451</v>
      </c>
      <c r="B45" s="197" t="s">
        <v>452</v>
      </c>
      <c r="C45" s="219">
        <v>629.98</v>
      </c>
      <c r="D45" s="219">
        <v>477.42</v>
      </c>
      <c r="E45" s="219">
        <v>1063.22</v>
      </c>
      <c r="F45" s="219"/>
      <c r="G45" s="219">
        <v>11481.54</v>
      </c>
      <c r="H45" s="260"/>
      <c r="I45" s="490">
        <v>12000</v>
      </c>
      <c r="J45" s="260">
        <v>12000</v>
      </c>
      <c r="K45" s="260"/>
      <c r="L45" s="260">
        <v>5000</v>
      </c>
      <c r="M45" s="169">
        <f t="shared" si="2"/>
        <v>-7000</v>
      </c>
    </row>
    <row r="46" spans="1:13">
      <c r="A46" s="196" t="s">
        <v>453</v>
      </c>
      <c r="B46" s="197" t="s">
        <v>454</v>
      </c>
      <c r="C46" s="219"/>
      <c r="D46" s="219"/>
      <c r="E46" s="219"/>
      <c r="F46" s="219"/>
      <c r="G46" s="219">
        <v>0</v>
      </c>
      <c r="H46" s="260"/>
      <c r="I46" s="490">
        <v>0</v>
      </c>
      <c r="J46" s="260">
        <v>0</v>
      </c>
      <c r="K46" s="260"/>
      <c r="L46" s="260">
        <v>0</v>
      </c>
      <c r="M46" s="169">
        <f>L46-J46</f>
        <v>0</v>
      </c>
    </row>
    <row r="47" spans="1:13">
      <c r="A47" s="170">
        <v>12146</v>
      </c>
      <c r="B47" s="164" t="s">
        <v>1446</v>
      </c>
      <c r="L47" s="168">
        <v>125</v>
      </c>
      <c r="M47" s="169">
        <f>L47-J47</f>
        <v>125</v>
      </c>
    </row>
    <row r="48" spans="1:13">
      <c r="A48" s="170"/>
    </row>
    <row r="49" spans="1:16" s="167" customFormat="1">
      <c r="A49" s="167" t="s">
        <v>3</v>
      </c>
      <c r="B49" s="167" t="s">
        <v>4</v>
      </c>
      <c r="C49" s="174">
        <f t="shared" ref="C49:M49" si="4">SUM(C29:C48)</f>
        <v>294133.93999999994</v>
      </c>
      <c r="D49" s="284">
        <f t="shared" si="4"/>
        <v>235689.52000000005</v>
      </c>
      <c r="E49" s="221">
        <f t="shared" si="4"/>
        <v>243333.40999999997</v>
      </c>
      <c r="F49" s="221"/>
      <c r="G49" s="221">
        <f t="shared" ref="G49" si="5">SUM(G29:G48)</f>
        <v>268602.18</v>
      </c>
      <c r="H49" s="174"/>
      <c r="I49" s="494">
        <f t="shared" ref="I49" si="6">SUM(I29:I48)</f>
        <v>298942.88719599997</v>
      </c>
      <c r="J49" s="174">
        <f t="shared" ref="J49:L49" si="7">SUM(J29:J48)</f>
        <v>295248.31379199994</v>
      </c>
      <c r="K49" s="174"/>
      <c r="L49" s="174">
        <f t="shared" si="7"/>
        <v>304177.01137299993</v>
      </c>
      <c r="M49" s="174">
        <f t="shared" si="4"/>
        <v>8928.6975809999858</v>
      </c>
      <c r="P49" s="229"/>
    </row>
    <row r="51" spans="1:16">
      <c r="A51" s="196" t="s">
        <v>457</v>
      </c>
      <c r="B51" s="197" t="s">
        <v>458</v>
      </c>
      <c r="C51" s="219">
        <v>159370.5</v>
      </c>
      <c r="D51" s="219">
        <v>157986.74</v>
      </c>
      <c r="E51" s="219">
        <v>188919.23</v>
      </c>
      <c r="F51" s="219"/>
      <c r="G51" s="219">
        <v>219241.54</v>
      </c>
      <c r="H51" s="260"/>
      <c r="I51" s="490">
        <v>216843.35</v>
      </c>
      <c r="J51" s="260">
        <v>215236.58</v>
      </c>
      <c r="K51" s="260"/>
      <c r="L51" s="260">
        <v>227586</v>
      </c>
      <c r="M51" s="169">
        <f t="shared" ref="M51:M80" si="8">L51-J51</f>
        <v>12349.420000000013</v>
      </c>
    </row>
    <row r="52" spans="1:16">
      <c r="A52" s="196" t="s">
        <v>990</v>
      </c>
      <c r="B52" s="197" t="s">
        <v>1286</v>
      </c>
      <c r="C52" s="219">
        <v>0</v>
      </c>
      <c r="D52" s="219">
        <v>750</v>
      </c>
      <c r="E52" s="219">
        <v>342</v>
      </c>
      <c r="F52" s="219"/>
      <c r="G52" s="219">
        <v>720</v>
      </c>
      <c r="H52" s="260"/>
      <c r="I52" s="490">
        <v>2160</v>
      </c>
      <c r="J52" s="260">
        <v>2160</v>
      </c>
      <c r="K52" s="260"/>
      <c r="L52" s="260">
        <v>600</v>
      </c>
      <c r="M52" s="169">
        <f t="shared" si="8"/>
        <v>-1560</v>
      </c>
    </row>
    <row r="53" spans="1:16">
      <c r="A53" s="196" t="s">
        <v>459</v>
      </c>
      <c r="B53" s="197" t="s">
        <v>460</v>
      </c>
      <c r="C53" s="219">
        <v>9024.65</v>
      </c>
      <c r="D53" s="219">
        <v>7043.61</v>
      </c>
      <c r="E53" s="219">
        <v>7060.47</v>
      </c>
      <c r="F53" s="219"/>
      <c r="G53" s="219">
        <v>6369.05</v>
      </c>
      <c r="H53" s="260"/>
      <c r="I53" s="490">
        <f>7973+800</f>
        <v>8773</v>
      </c>
      <c r="J53" s="260">
        <v>16151</v>
      </c>
      <c r="K53" s="260"/>
      <c r="L53" s="260">
        <v>13631</v>
      </c>
      <c r="M53" s="169">
        <f t="shared" si="8"/>
        <v>-2520</v>
      </c>
    </row>
    <row r="54" spans="1:16">
      <c r="A54" s="196" t="s">
        <v>938</v>
      </c>
      <c r="B54" s="197" t="s">
        <v>936</v>
      </c>
      <c r="C54" s="219"/>
      <c r="D54" s="219"/>
      <c r="E54" s="219">
        <v>1101.52</v>
      </c>
      <c r="F54" s="219"/>
      <c r="G54" s="219">
        <v>1796.99</v>
      </c>
      <c r="H54" s="260"/>
      <c r="I54" s="490">
        <v>1125</v>
      </c>
      <c r="J54" s="260">
        <v>1125</v>
      </c>
      <c r="K54" s="260"/>
      <c r="L54" s="260">
        <v>4300</v>
      </c>
      <c r="M54" s="169">
        <f t="shared" si="8"/>
        <v>3175</v>
      </c>
    </row>
    <row r="55" spans="1:16">
      <c r="A55" s="196" t="s">
        <v>939</v>
      </c>
      <c r="B55" s="197" t="s">
        <v>937</v>
      </c>
      <c r="C55" s="219"/>
      <c r="D55" s="219"/>
      <c r="E55" s="219">
        <v>1950.1</v>
      </c>
      <c r="F55" s="219"/>
      <c r="G55" s="219">
        <v>2746.93</v>
      </c>
      <c r="H55" s="260"/>
      <c r="I55" s="490">
        <f>1950*2</f>
        <v>3900</v>
      </c>
      <c r="J55" s="260">
        <f>1950*2</f>
        <v>3900</v>
      </c>
      <c r="K55" s="260"/>
      <c r="L55" s="260">
        <f t="shared" ref="L55" si="9">1950*2</f>
        <v>3900</v>
      </c>
      <c r="M55" s="169">
        <f t="shared" si="8"/>
        <v>0</v>
      </c>
    </row>
    <row r="56" spans="1:16">
      <c r="A56" s="196" t="s">
        <v>461</v>
      </c>
      <c r="B56" s="197" t="s">
        <v>462</v>
      </c>
      <c r="C56" s="219">
        <v>68505.69</v>
      </c>
      <c r="D56" s="219">
        <v>62669.71</v>
      </c>
      <c r="E56" s="219">
        <v>38986.94</v>
      </c>
      <c r="F56" s="219"/>
      <c r="G56" s="219">
        <v>60975.7</v>
      </c>
      <c r="H56" s="260"/>
      <c r="I56" s="490">
        <v>54368.43</v>
      </c>
      <c r="J56" s="260">
        <v>60956.9</v>
      </c>
      <c r="K56" s="260"/>
      <c r="L56" s="260">
        <v>62225.14</v>
      </c>
      <c r="M56" s="169">
        <f t="shared" si="8"/>
        <v>1268.239999999998</v>
      </c>
    </row>
    <row r="57" spans="1:16">
      <c r="A57" s="196" t="s">
        <v>467</v>
      </c>
      <c r="B57" s="197" t="s">
        <v>468</v>
      </c>
      <c r="C57" s="219">
        <v>6205.82</v>
      </c>
      <c r="D57" s="219"/>
      <c r="E57" s="219">
        <v>1828</v>
      </c>
      <c r="F57" s="219"/>
      <c r="G57" s="219">
        <v>427.57</v>
      </c>
      <c r="H57" s="260"/>
      <c r="I57" s="490">
        <v>3000</v>
      </c>
      <c r="J57" s="260">
        <v>3000</v>
      </c>
      <c r="K57" s="260"/>
      <c r="L57" s="260">
        <v>3000</v>
      </c>
      <c r="M57" s="169">
        <f t="shared" si="8"/>
        <v>0</v>
      </c>
    </row>
    <row r="58" spans="1:16">
      <c r="A58" s="196" t="s">
        <v>463</v>
      </c>
      <c r="B58" s="197" t="s">
        <v>464</v>
      </c>
      <c r="C58" s="219">
        <v>64378.55</v>
      </c>
      <c r="D58" s="219">
        <v>79313.08</v>
      </c>
      <c r="E58" s="398">
        <f>89696.11+763.73+377.72</f>
        <v>90837.56</v>
      </c>
      <c r="F58" s="398"/>
      <c r="G58" s="398">
        <f>96688.3+1175.89+667.16</f>
        <v>98531.35</v>
      </c>
      <c r="H58" s="288"/>
      <c r="I58" s="491">
        <f>SUM(I51:I55)*I612+7160</f>
        <v>110244.43778000001</v>
      </c>
      <c r="J58" s="288">
        <f>SUM(J51:J55)*J612+7160</f>
        <v>112799.93842400001</v>
      </c>
      <c r="K58" s="288"/>
      <c r="L58" s="288">
        <f>SUM(L51:L55)*L612+12900</f>
        <v>123607.5276</v>
      </c>
      <c r="M58" s="169">
        <f t="shared" si="8"/>
        <v>10807.589175999994</v>
      </c>
    </row>
    <row r="59" spans="1:16">
      <c r="A59" s="196" t="s">
        <v>465</v>
      </c>
      <c r="B59" s="197" t="s">
        <v>466</v>
      </c>
      <c r="C59" s="219">
        <v>10314.16</v>
      </c>
      <c r="D59" s="219">
        <v>11680.58</v>
      </c>
      <c r="E59" s="398">
        <f>14018.98+410.41+83.6</f>
        <v>14512.99</v>
      </c>
      <c r="F59" s="398"/>
      <c r="G59" s="398">
        <f>16123.45+199.98+135.19</f>
        <v>16458.62</v>
      </c>
      <c r="H59" s="288"/>
      <c r="I59" s="491">
        <f>SUM(I51:I55)*I613</f>
        <v>17809.303274999998</v>
      </c>
      <c r="J59" s="288">
        <f>SUM(J51:J55)*J613</f>
        <v>18250.802369999998</v>
      </c>
      <c r="K59" s="288"/>
      <c r="L59" s="288">
        <f>SUM(L51:L55)*L613</f>
        <v>19126.300500000001</v>
      </c>
      <c r="M59" s="169">
        <f t="shared" si="8"/>
        <v>875.49813000000358</v>
      </c>
    </row>
    <row r="60" spans="1:16">
      <c r="A60" s="196" t="s">
        <v>491</v>
      </c>
      <c r="B60" s="197" t="s">
        <v>427</v>
      </c>
      <c r="C60" s="219"/>
      <c r="D60" s="219"/>
      <c r="E60" s="219">
        <v>78.8</v>
      </c>
      <c r="F60" s="219"/>
      <c r="G60" s="219">
        <v>160.99</v>
      </c>
      <c r="H60" s="260"/>
      <c r="I60" s="490">
        <v>180</v>
      </c>
      <c r="J60" s="260">
        <v>180</v>
      </c>
      <c r="K60" s="260"/>
      <c r="L60" s="260">
        <v>180</v>
      </c>
      <c r="M60" s="169">
        <f t="shared" si="8"/>
        <v>0</v>
      </c>
    </row>
    <row r="61" spans="1:16">
      <c r="A61" s="196" t="s">
        <v>1368</v>
      </c>
      <c r="B61" s="197" t="s">
        <v>1369</v>
      </c>
      <c r="C61" s="219"/>
      <c r="D61" s="219"/>
      <c r="E61" s="219"/>
      <c r="F61" s="219"/>
      <c r="G61" s="219">
        <v>1636.5</v>
      </c>
      <c r="H61" s="260"/>
      <c r="I61" s="490"/>
      <c r="J61" s="260"/>
      <c r="K61" s="260"/>
      <c r="L61" s="260"/>
      <c r="M61" s="169">
        <f t="shared" si="8"/>
        <v>0</v>
      </c>
    </row>
    <row r="62" spans="1:16">
      <c r="A62" s="196" t="s">
        <v>473</v>
      </c>
      <c r="B62" s="197" t="s">
        <v>474</v>
      </c>
      <c r="C62" s="219">
        <v>3746.76</v>
      </c>
      <c r="D62" s="219">
        <v>5357.87</v>
      </c>
      <c r="E62" s="219">
        <v>6014.22</v>
      </c>
      <c r="F62" s="219"/>
      <c r="G62" s="219">
        <v>7920.58</v>
      </c>
      <c r="H62" s="260"/>
      <c r="I62" s="490">
        <v>6100</v>
      </c>
      <c r="J62" s="260">
        <v>6100</v>
      </c>
      <c r="K62" s="260"/>
      <c r="L62" s="260">
        <v>8000</v>
      </c>
      <c r="M62" s="169">
        <f t="shared" si="8"/>
        <v>1900</v>
      </c>
    </row>
    <row r="63" spans="1:16">
      <c r="A63" s="196" t="s">
        <v>1358</v>
      </c>
      <c r="B63" s="197" t="s">
        <v>1359</v>
      </c>
      <c r="C63" s="219"/>
      <c r="D63" s="219"/>
      <c r="E63" s="219"/>
      <c r="F63" s="219"/>
      <c r="G63" s="219">
        <v>3097.5</v>
      </c>
      <c r="H63" s="260"/>
      <c r="I63" s="490">
        <v>0</v>
      </c>
      <c r="J63" s="260"/>
      <c r="K63" s="260"/>
      <c r="L63" s="260"/>
      <c r="M63" s="169">
        <f t="shared" si="8"/>
        <v>0</v>
      </c>
    </row>
    <row r="64" spans="1:16">
      <c r="A64" s="196" t="s">
        <v>940</v>
      </c>
      <c r="B64" s="197" t="s">
        <v>941</v>
      </c>
      <c r="C64" s="219"/>
      <c r="D64" s="219"/>
      <c r="E64" s="219">
        <v>1677.06</v>
      </c>
      <c r="F64" s="219"/>
      <c r="G64" s="219">
        <v>1406.33</v>
      </c>
      <c r="H64" s="260"/>
      <c r="I64" s="490">
        <v>1680</v>
      </c>
      <c r="J64" s="260">
        <v>1680</v>
      </c>
      <c r="K64" s="260"/>
      <c r="L64" s="260">
        <v>2031</v>
      </c>
      <c r="M64" s="169">
        <f t="shared" si="8"/>
        <v>351</v>
      </c>
    </row>
    <row r="65" spans="1:16" s="197" customFormat="1" ht="12.95" customHeight="1">
      <c r="A65" s="196" t="s">
        <v>1196</v>
      </c>
      <c r="B65" s="197" t="s">
        <v>1195</v>
      </c>
      <c r="C65" s="219"/>
      <c r="D65" s="219"/>
      <c r="E65" s="219">
        <v>1309.1600000000001</v>
      </c>
      <c r="F65" s="219"/>
      <c r="G65" s="219">
        <v>656.22</v>
      </c>
      <c r="H65" s="260"/>
      <c r="I65" s="490">
        <v>1800</v>
      </c>
      <c r="J65" s="260">
        <v>1800</v>
      </c>
      <c r="K65" s="260"/>
      <c r="L65" s="260">
        <v>1800</v>
      </c>
      <c r="M65" s="169">
        <f t="shared" si="8"/>
        <v>0</v>
      </c>
      <c r="N65" s="198"/>
      <c r="P65" s="219"/>
    </row>
    <row r="66" spans="1:16">
      <c r="A66" s="196" t="s">
        <v>469</v>
      </c>
      <c r="B66" s="197" t="s">
        <v>470</v>
      </c>
      <c r="C66" s="219"/>
      <c r="D66" s="219">
        <v>63.77</v>
      </c>
      <c r="E66" s="219">
        <v>63.9</v>
      </c>
      <c r="F66" s="219"/>
      <c r="G66" s="219">
        <v>495.99</v>
      </c>
      <c r="H66" s="260"/>
      <c r="I66" s="490">
        <v>500</v>
      </c>
      <c r="J66" s="260">
        <v>500</v>
      </c>
      <c r="K66" s="260"/>
      <c r="L66" s="260">
        <v>500</v>
      </c>
      <c r="M66" s="169">
        <f t="shared" si="8"/>
        <v>0</v>
      </c>
    </row>
    <row r="67" spans="1:16">
      <c r="A67" s="196" t="s">
        <v>1447</v>
      </c>
      <c r="B67" s="197" t="s">
        <v>1448</v>
      </c>
      <c r="C67" s="219"/>
      <c r="D67" s="219"/>
      <c r="E67" s="219"/>
      <c r="F67" s="219"/>
      <c r="G67" s="219"/>
      <c r="H67" s="260"/>
      <c r="I67" s="490"/>
      <c r="J67" s="260"/>
      <c r="K67" s="260"/>
      <c r="L67" s="260">
        <v>130</v>
      </c>
      <c r="M67" s="169">
        <f t="shared" si="8"/>
        <v>130</v>
      </c>
    </row>
    <row r="68" spans="1:16">
      <c r="A68" s="196" t="s">
        <v>483</v>
      </c>
      <c r="B68" s="197" t="s">
        <v>484</v>
      </c>
      <c r="C68" s="219">
        <v>82.84</v>
      </c>
      <c r="D68" s="219">
        <v>200</v>
      </c>
      <c r="E68" s="219">
        <v>1867.36</v>
      </c>
      <c r="F68" s="219"/>
      <c r="G68" s="219">
        <v>1512.58</v>
      </c>
      <c r="H68" s="260"/>
      <c r="I68" s="490">
        <v>2500</v>
      </c>
      <c r="J68" s="260">
        <v>2500</v>
      </c>
      <c r="K68" s="260"/>
      <c r="L68" s="260">
        <v>9300</v>
      </c>
      <c r="M68" s="169">
        <f t="shared" si="8"/>
        <v>6800</v>
      </c>
    </row>
    <row r="69" spans="1:16">
      <c r="A69" s="196" t="s">
        <v>477</v>
      </c>
      <c r="B69" s="197" t="s">
        <v>478</v>
      </c>
      <c r="C69" s="219">
        <v>1838.83</v>
      </c>
      <c r="D69" s="219">
        <v>4721</v>
      </c>
      <c r="E69" s="219">
        <v>1750</v>
      </c>
      <c r="F69" s="219"/>
      <c r="G69" s="219">
        <v>5250</v>
      </c>
      <c r="H69" s="260"/>
      <c r="I69" s="490">
        <f>6370-1120</f>
        <v>5250</v>
      </c>
      <c r="J69" s="260">
        <f>6370-1120</f>
        <v>5250</v>
      </c>
      <c r="K69" s="260"/>
      <c r="L69" s="260">
        <v>10000</v>
      </c>
      <c r="M69" s="169">
        <f t="shared" si="8"/>
        <v>4750</v>
      </c>
    </row>
    <row r="70" spans="1:16" s="197" customFormat="1" ht="12.95" customHeight="1">
      <c r="A70" s="196" t="s">
        <v>876</v>
      </c>
      <c r="B70" s="197" t="s">
        <v>803</v>
      </c>
      <c r="C70" s="219"/>
      <c r="D70" s="219">
        <v>1864.08</v>
      </c>
      <c r="E70" s="219">
        <v>6021.9</v>
      </c>
      <c r="F70" s="219"/>
      <c r="G70" s="219">
        <v>5620</v>
      </c>
      <c r="H70" s="260"/>
      <c r="I70" s="490">
        <v>8000</v>
      </c>
      <c r="J70" s="260">
        <v>8000</v>
      </c>
      <c r="K70" s="260"/>
      <c r="L70" s="260">
        <v>14400</v>
      </c>
      <c r="M70" s="169">
        <f t="shared" si="8"/>
        <v>6400</v>
      </c>
      <c r="N70" s="198"/>
      <c r="P70" s="219"/>
    </row>
    <row r="71" spans="1:16">
      <c r="A71" s="196" t="s">
        <v>471</v>
      </c>
      <c r="B71" s="197" t="s">
        <v>472</v>
      </c>
      <c r="C71" s="219">
        <v>597.23</v>
      </c>
      <c r="D71" s="219">
        <v>691.96</v>
      </c>
      <c r="E71" s="219">
        <v>567.28</v>
      </c>
      <c r="F71" s="219"/>
      <c r="G71" s="219">
        <v>605.32299999999998</v>
      </c>
      <c r="H71" s="260"/>
      <c r="I71" s="490">
        <v>1000</v>
      </c>
      <c r="J71" s="260">
        <v>1000</v>
      </c>
      <c r="K71" s="260"/>
      <c r="L71" s="260">
        <v>1000</v>
      </c>
      <c r="M71" s="169">
        <f t="shared" si="8"/>
        <v>0</v>
      </c>
    </row>
    <row r="72" spans="1:16">
      <c r="A72" s="196" t="s">
        <v>479</v>
      </c>
      <c r="B72" s="197" t="s">
        <v>480</v>
      </c>
      <c r="C72" s="219">
        <v>831.35</v>
      </c>
      <c r="D72" s="219">
        <v>449.79</v>
      </c>
      <c r="E72" s="219">
        <v>939.97</v>
      </c>
      <c r="F72" s="219"/>
      <c r="G72" s="219">
        <v>1073.71</v>
      </c>
      <c r="H72" s="260"/>
      <c r="I72" s="490">
        <v>1100</v>
      </c>
      <c r="J72" s="260">
        <v>1100</v>
      </c>
      <c r="K72" s="260"/>
      <c r="L72" s="260">
        <v>1600</v>
      </c>
      <c r="M72" s="169">
        <f t="shared" si="8"/>
        <v>500</v>
      </c>
    </row>
    <row r="73" spans="1:16">
      <c r="A73" s="196" t="s">
        <v>485</v>
      </c>
      <c r="B73" s="197" t="s">
        <v>486</v>
      </c>
      <c r="C73" s="219"/>
      <c r="D73" s="219"/>
      <c r="E73" s="219"/>
      <c r="F73" s="219"/>
      <c r="G73" s="219">
        <v>0</v>
      </c>
      <c r="H73" s="260"/>
      <c r="I73" s="490">
        <v>200</v>
      </c>
      <c r="J73" s="260">
        <v>200</v>
      </c>
      <c r="K73" s="260"/>
      <c r="L73" s="260">
        <v>200</v>
      </c>
      <c r="M73" s="169">
        <f t="shared" si="8"/>
        <v>0</v>
      </c>
    </row>
    <row r="74" spans="1:16">
      <c r="A74" s="196" t="s">
        <v>487</v>
      </c>
      <c r="B74" s="197" t="s">
        <v>488</v>
      </c>
      <c r="C74" s="219">
        <v>25.63</v>
      </c>
      <c r="D74" s="219">
        <v>800.4</v>
      </c>
      <c r="E74" s="219">
        <v>685.31</v>
      </c>
      <c r="F74" s="219"/>
      <c r="G74" s="219">
        <v>647.33000000000004</v>
      </c>
      <c r="H74" s="260"/>
      <c r="I74" s="490">
        <v>940</v>
      </c>
      <c r="J74" s="260">
        <v>940</v>
      </c>
      <c r="K74" s="260"/>
      <c r="L74" s="260">
        <v>0</v>
      </c>
      <c r="M74" s="169">
        <f t="shared" si="8"/>
        <v>-940</v>
      </c>
    </row>
    <row r="75" spans="1:16">
      <c r="A75" s="196" t="s">
        <v>481</v>
      </c>
      <c r="B75" s="197" t="s">
        <v>482</v>
      </c>
      <c r="C75" s="219"/>
      <c r="D75" s="219">
        <v>87.25</v>
      </c>
      <c r="E75" s="219">
        <v>984.71</v>
      </c>
      <c r="F75" s="219"/>
      <c r="G75" s="219">
        <v>0</v>
      </c>
      <c r="H75" s="260"/>
      <c r="I75" s="490">
        <v>1000</v>
      </c>
      <c r="J75" s="260">
        <v>1000</v>
      </c>
      <c r="K75" s="260"/>
      <c r="L75" s="260">
        <v>1000</v>
      </c>
      <c r="M75" s="169">
        <f t="shared" si="8"/>
        <v>0</v>
      </c>
    </row>
    <row r="76" spans="1:16">
      <c r="A76" s="196" t="s">
        <v>943</v>
      </c>
      <c r="B76" s="197" t="s">
        <v>942</v>
      </c>
      <c r="C76" s="219"/>
      <c r="D76" s="219"/>
      <c r="E76" s="219">
        <v>1181.48</v>
      </c>
      <c r="F76" s="219"/>
      <c r="G76" s="219">
        <v>0</v>
      </c>
      <c r="H76" s="260"/>
      <c r="I76" s="490">
        <v>1500</v>
      </c>
      <c r="J76" s="260">
        <v>1500</v>
      </c>
      <c r="K76" s="260"/>
      <c r="L76" s="260">
        <v>700</v>
      </c>
      <c r="M76" s="169">
        <f t="shared" si="8"/>
        <v>-800</v>
      </c>
    </row>
    <row r="77" spans="1:16" s="186" customFormat="1">
      <c r="A77" s="196" t="s">
        <v>492</v>
      </c>
      <c r="B77" s="197" t="s">
        <v>493</v>
      </c>
      <c r="C77" s="219">
        <v>320.95</v>
      </c>
      <c r="D77" s="219">
        <v>151.19999999999999</v>
      </c>
      <c r="E77" s="219"/>
      <c r="F77" s="219"/>
      <c r="G77" s="219">
        <v>0</v>
      </c>
      <c r="H77" s="260"/>
      <c r="I77" s="490">
        <v>175</v>
      </c>
      <c r="J77" s="260">
        <v>175</v>
      </c>
      <c r="K77" s="260"/>
      <c r="L77" s="260">
        <v>175</v>
      </c>
      <c r="M77" s="169">
        <f t="shared" si="8"/>
        <v>0</v>
      </c>
      <c r="P77" s="226"/>
    </row>
    <row r="78" spans="1:16" s="186" customFormat="1">
      <c r="A78" s="196" t="s">
        <v>1449</v>
      </c>
      <c r="B78" s="197" t="s">
        <v>1446</v>
      </c>
      <c r="C78" s="219"/>
      <c r="D78" s="219"/>
      <c r="E78" s="219"/>
      <c r="F78" s="219"/>
      <c r="G78" s="219"/>
      <c r="H78" s="260"/>
      <c r="I78" s="490"/>
      <c r="J78" s="260"/>
      <c r="K78" s="260"/>
      <c r="L78" s="260">
        <v>150</v>
      </c>
      <c r="M78" s="169">
        <f t="shared" si="8"/>
        <v>150</v>
      </c>
      <c r="P78" s="226"/>
    </row>
    <row r="79" spans="1:16">
      <c r="A79" s="196" t="s">
        <v>475</v>
      </c>
      <c r="B79" s="197" t="s">
        <v>476</v>
      </c>
      <c r="C79" s="219">
        <v>14540</v>
      </c>
      <c r="D79" s="219"/>
      <c r="E79" s="219">
        <v>1000</v>
      </c>
      <c r="F79" s="219"/>
      <c r="G79" s="219">
        <v>7564.06</v>
      </c>
      <c r="H79" s="260"/>
      <c r="I79" s="490">
        <v>2000</v>
      </c>
      <c r="J79" s="260">
        <v>2000</v>
      </c>
      <c r="K79" s="260"/>
      <c r="L79" s="260">
        <v>2000</v>
      </c>
      <c r="M79" s="169">
        <f t="shared" si="8"/>
        <v>0</v>
      </c>
    </row>
    <row r="80" spans="1:16">
      <c r="M80" s="169">
        <f t="shared" si="8"/>
        <v>0</v>
      </c>
    </row>
    <row r="81" spans="1:16" ht="12.95" customHeight="1"/>
    <row r="82" spans="1:16" s="167" customFormat="1">
      <c r="A82" s="167" t="s">
        <v>5</v>
      </c>
      <c r="B82" s="167" t="s">
        <v>6</v>
      </c>
      <c r="C82" s="174">
        <f t="shared" ref="C82:M82" si="10">SUM(C51:C81)</f>
        <v>339782.96</v>
      </c>
      <c r="D82" s="284">
        <f t="shared" si="10"/>
        <v>333831.04000000004</v>
      </c>
      <c r="E82" s="221">
        <f t="shared" si="10"/>
        <v>369679.95999999996</v>
      </c>
      <c r="F82" s="221"/>
      <c r="G82" s="221">
        <f t="shared" si="10"/>
        <v>444914.86300000001</v>
      </c>
      <c r="H82" s="174"/>
      <c r="I82" s="494">
        <f t="shared" si="10"/>
        <v>452148.52105500008</v>
      </c>
      <c r="J82" s="174">
        <f t="shared" si="10"/>
        <v>467505.22079399996</v>
      </c>
      <c r="K82" s="174"/>
      <c r="L82" s="174">
        <f t="shared" ref="L82" si="11">SUM(L51:L81)</f>
        <v>511141.96810000006</v>
      </c>
      <c r="M82" s="174">
        <f t="shared" si="10"/>
        <v>43636.747306000005</v>
      </c>
      <c r="P82" s="229"/>
    </row>
    <row r="83" spans="1:16" ht="48" thickBot="1">
      <c r="A83" s="218" t="s">
        <v>26</v>
      </c>
      <c r="B83" s="166" t="s">
        <v>25</v>
      </c>
      <c r="C83" s="228" t="e">
        <f>Summary!#REF!</f>
        <v>#REF!</v>
      </c>
      <c r="D83" s="282" t="str">
        <f t="shared" ref="D83:J83" si="12">D7</f>
        <v>2018/2019 Actual</v>
      </c>
      <c r="E83" s="282" t="str">
        <f t="shared" si="12"/>
        <v>2019/2020 Actual</v>
      </c>
      <c r="F83" s="282"/>
      <c r="G83" s="282" t="str">
        <f t="shared" si="12"/>
        <v>2020/2021 Actual</v>
      </c>
      <c r="H83" s="287"/>
      <c r="I83" s="489" t="e">
        <f t="shared" si="12"/>
        <v>#REF!</v>
      </c>
      <c r="J83" s="287" t="str">
        <f t="shared" si="12"/>
        <v xml:space="preserve">2021-2022 Approved Budget </v>
      </c>
      <c r="K83" s="287"/>
      <c r="L83" s="287" t="str">
        <f t="shared" ref="L83" si="13">L7</f>
        <v xml:space="preserve">2021-2022 Amended Budget </v>
      </c>
      <c r="M83" s="508" t="s">
        <v>89</v>
      </c>
      <c r="N83" s="167" t="s">
        <v>110</v>
      </c>
    </row>
    <row r="84" spans="1:16">
      <c r="A84" s="170"/>
    </row>
    <row r="85" spans="1:16" s="197" customFormat="1" ht="12.95" customHeight="1">
      <c r="A85" s="196" t="s">
        <v>799</v>
      </c>
      <c r="B85" s="197" t="s">
        <v>800</v>
      </c>
      <c r="C85" s="219">
        <v>2072.08</v>
      </c>
      <c r="D85" s="219">
        <v>1940.21</v>
      </c>
      <c r="E85" s="219">
        <v>1822.72</v>
      </c>
      <c r="F85" s="219"/>
      <c r="G85" s="219">
        <v>2138.84</v>
      </c>
      <c r="H85" s="260"/>
      <c r="I85" s="490">
        <v>2140</v>
      </c>
      <c r="J85" s="260">
        <v>2140</v>
      </c>
      <c r="K85" s="260"/>
      <c r="L85" s="260">
        <v>2375</v>
      </c>
      <c r="M85" s="169">
        <f t="shared" ref="M85:M87" si="14">L85-J85</f>
        <v>235</v>
      </c>
      <c r="N85" s="198"/>
      <c r="P85" s="219"/>
    </row>
    <row r="86" spans="1:16" s="197" customFormat="1" ht="12.95" customHeight="1">
      <c r="A86" s="196" t="s">
        <v>801</v>
      </c>
      <c r="B86" s="197" t="s">
        <v>802</v>
      </c>
      <c r="C86" s="219">
        <v>0</v>
      </c>
      <c r="D86" s="219">
        <v>730.22</v>
      </c>
      <c r="E86" s="219">
        <v>0</v>
      </c>
      <c r="F86" s="219"/>
      <c r="G86" s="219">
        <v>0</v>
      </c>
      <c r="H86" s="260"/>
      <c r="I86" s="490">
        <v>0</v>
      </c>
      <c r="J86" s="260">
        <v>0</v>
      </c>
      <c r="K86" s="260"/>
      <c r="L86" s="260">
        <v>0</v>
      </c>
      <c r="M86" s="169">
        <f t="shared" si="14"/>
        <v>0</v>
      </c>
      <c r="N86" s="198"/>
      <c r="P86" s="219"/>
    </row>
    <row r="87" spans="1:16" s="197" customFormat="1" ht="12.95" customHeight="1">
      <c r="A87" s="196" t="s">
        <v>864</v>
      </c>
      <c r="B87" s="197" t="s">
        <v>618</v>
      </c>
      <c r="C87" s="219">
        <v>429.88</v>
      </c>
      <c r="D87" s="219"/>
      <c r="E87" s="219"/>
      <c r="F87" s="219"/>
      <c r="G87" s="219"/>
      <c r="H87" s="260"/>
      <c r="I87" s="490"/>
      <c r="J87" s="260"/>
      <c r="K87" s="260"/>
      <c r="L87" s="260"/>
      <c r="M87" s="169">
        <f t="shared" si="14"/>
        <v>0</v>
      </c>
      <c r="N87" s="198"/>
      <c r="P87" s="219"/>
    </row>
    <row r="89" spans="1:16" s="167" customFormat="1">
      <c r="A89" s="176">
        <v>114</v>
      </c>
      <c r="B89" s="167" t="s">
        <v>300</v>
      </c>
      <c r="C89" s="174">
        <f>SUM(C84:C88)</f>
        <v>2501.96</v>
      </c>
      <c r="D89" s="221">
        <f>SUM(D84:D88)</f>
        <v>2670.4300000000003</v>
      </c>
      <c r="E89" s="221">
        <f t="shared" ref="E89" si="15">SUM(E84:E88)</f>
        <v>1822.72</v>
      </c>
      <c r="F89" s="221"/>
      <c r="G89" s="221">
        <f t="shared" ref="G89" si="16">SUM(G84:G88)</f>
        <v>2138.84</v>
      </c>
      <c r="H89" s="174"/>
      <c r="I89" s="494">
        <f t="shared" ref="I89" si="17">SUM(I84:I88)</f>
        <v>2140</v>
      </c>
      <c r="J89" s="174">
        <f t="shared" ref="J89:L89" si="18">SUM(J84:J88)</f>
        <v>2140</v>
      </c>
      <c r="K89" s="174"/>
      <c r="L89" s="174">
        <f t="shared" si="18"/>
        <v>2375</v>
      </c>
      <c r="M89" s="174">
        <f t="shared" ref="M89" si="19">SUM(M84:M88)</f>
        <v>235</v>
      </c>
      <c r="P89" s="229"/>
    </row>
    <row r="91" spans="1:16">
      <c r="A91" s="196" t="s">
        <v>996</v>
      </c>
      <c r="B91" s="197" t="s">
        <v>998</v>
      </c>
      <c r="C91" s="219"/>
      <c r="D91" s="219"/>
      <c r="E91" s="219">
        <v>17038.22</v>
      </c>
      <c r="F91" s="219"/>
      <c r="G91" s="219">
        <v>21736.71</v>
      </c>
      <c r="H91" s="260"/>
      <c r="I91" s="490">
        <f>14852.14+6865.49</f>
        <v>21717.629999999997</v>
      </c>
      <c r="J91" s="260">
        <v>23120.400000000001</v>
      </c>
      <c r="K91" s="260"/>
      <c r="L91" s="260">
        <v>33456.1</v>
      </c>
      <c r="M91" s="169">
        <f t="shared" ref="M91:M119" si="20">L91-J91</f>
        <v>10335.699999999997</v>
      </c>
    </row>
    <row r="92" spans="1:16">
      <c r="A92" s="196" t="s">
        <v>997</v>
      </c>
      <c r="B92" s="197" t="s">
        <v>999</v>
      </c>
      <c r="C92" s="219"/>
      <c r="D92" s="219"/>
      <c r="E92" s="219">
        <v>11902.31</v>
      </c>
      <c r="F92" s="219"/>
      <c r="G92" s="219">
        <v>31891.46</v>
      </c>
      <c r="H92" s="260"/>
      <c r="I92" s="490">
        <v>27867.97</v>
      </c>
      <c r="J92" s="260">
        <v>28669.34</v>
      </c>
      <c r="K92" s="260"/>
      <c r="L92" s="260">
        <v>10532.1</v>
      </c>
      <c r="M92" s="169">
        <f t="shared" si="20"/>
        <v>-18137.239999999998</v>
      </c>
    </row>
    <row r="93" spans="1:16">
      <c r="A93" s="196" t="s">
        <v>1492</v>
      </c>
      <c r="B93" s="197" t="s">
        <v>995</v>
      </c>
      <c r="C93" s="219">
        <v>0</v>
      </c>
      <c r="D93" s="219">
        <v>61125.120000000003</v>
      </c>
      <c r="E93" s="219">
        <v>31175.17</v>
      </c>
      <c r="F93" s="219"/>
      <c r="G93" s="219">
        <v>17090.259999999998</v>
      </c>
      <c r="H93" s="260"/>
      <c r="I93" s="490">
        <v>23120.44</v>
      </c>
      <c r="J93" s="260">
        <v>22195.62</v>
      </c>
      <c r="K93" s="260"/>
      <c r="L93" s="260">
        <v>22637.45</v>
      </c>
      <c r="M93" s="169">
        <f t="shared" si="20"/>
        <v>441.83000000000175</v>
      </c>
    </row>
    <row r="94" spans="1:16">
      <c r="A94" s="196" t="s">
        <v>1374</v>
      </c>
      <c r="B94" s="197" t="s">
        <v>1370</v>
      </c>
      <c r="C94" s="219">
        <v>55</v>
      </c>
      <c r="D94" s="219"/>
      <c r="E94" s="219"/>
      <c r="F94" s="219"/>
      <c r="G94" s="219">
        <v>984.94</v>
      </c>
      <c r="H94" s="260"/>
      <c r="I94" s="490">
        <v>4320</v>
      </c>
      <c r="J94" s="490">
        <v>2250</v>
      </c>
      <c r="K94" s="490"/>
      <c r="L94" s="490">
        <v>3000</v>
      </c>
      <c r="M94" s="169">
        <f t="shared" si="20"/>
        <v>750</v>
      </c>
    </row>
    <row r="95" spans="1:16">
      <c r="A95" s="196" t="s">
        <v>1373</v>
      </c>
      <c r="B95" s="197" t="s">
        <v>1371</v>
      </c>
      <c r="C95" s="219"/>
      <c r="D95" s="219"/>
      <c r="E95" s="219"/>
      <c r="F95" s="219"/>
      <c r="G95" s="219">
        <v>606.29</v>
      </c>
      <c r="H95" s="260"/>
      <c r="I95" s="490">
        <v>2735</v>
      </c>
      <c r="J95" s="490">
        <v>2790</v>
      </c>
      <c r="K95" s="490"/>
      <c r="L95" s="490">
        <v>0</v>
      </c>
      <c r="M95" s="169">
        <f t="shared" si="20"/>
        <v>-2790</v>
      </c>
    </row>
    <row r="96" spans="1:16">
      <c r="A96" s="196" t="s">
        <v>1372</v>
      </c>
      <c r="B96" s="197" t="s">
        <v>1379</v>
      </c>
      <c r="C96" s="219"/>
      <c r="D96" s="219"/>
      <c r="E96" s="219"/>
      <c r="F96" s="219"/>
      <c r="G96" s="219">
        <v>29.2</v>
      </c>
      <c r="H96" s="260"/>
      <c r="I96" s="490">
        <v>145</v>
      </c>
      <c r="J96" s="490">
        <v>2160</v>
      </c>
      <c r="K96" s="490"/>
      <c r="L96" s="490">
        <v>0</v>
      </c>
      <c r="M96" s="169">
        <f t="shared" si="20"/>
        <v>-2160</v>
      </c>
    </row>
    <row r="97" spans="1:13">
      <c r="A97" s="196" t="s">
        <v>944</v>
      </c>
      <c r="B97" s="197" t="s">
        <v>945</v>
      </c>
      <c r="C97" s="219"/>
      <c r="D97" s="219"/>
      <c r="E97" s="219">
        <v>410</v>
      </c>
      <c r="F97" s="219"/>
      <c r="G97" s="219">
        <v>233</v>
      </c>
      <c r="H97" s="260"/>
      <c r="I97" s="490">
        <v>233</v>
      </c>
      <c r="J97" s="260">
        <v>250</v>
      </c>
      <c r="K97" s="260"/>
      <c r="L97" s="260">
        <v>250</v>
      </c>
      <c r="M97" s="169">
        <f t="shared" si="20"/>
        <v>0</v>
      </c>
    </row>
    <row r="98" spans="1:13">
      <c r="A98" s="196" t="s">
        <v>1375</v>
      </c>
      <c r="B98" s="197" t="s">
        <v>1376</v>
      </c>
      <c r="C98" s="219"/>
      <c r="D98" s="219"/>
      <c r="E98" s="219"/>
      <c r="F98" s="219"/>
      <c r="G98" s="219">
        <v>400</v>
      </c>
      <c r="H98" s="260"/>
      <c r="I98" s="490"/>
      <c r="J98" s="260"/>
      <c r="K98" s="260"/>
      <c r="L98" s="260"/>
      <c r="M98" s="169">
        <f t="shared" si="20"/>
        <v>0</v>
      </c>
    </row>
    <row r="99" spans="1:13">
      <c r="A99" s="196" t="s">
        <v>1377</v>
      </c>
      <c r="B99" s="197" t="s">
        <v>1378</v>
      </c>
      <c r="C99" s="219"/>
      <c r="D99" s="219"/>
      <c r="E99" s="219"/>
      <c r="F99" s="219"/>
      <c r="G99" s="219">
        <v>400</v>
      </c>
      <c r="H99" s="260"/>
      <c r="I99" s="490"/>
      <c r="J99" s="260"/>
      <c r="K99" s="260"/>
      <c r="L99" s="260"/>
      <c r="M99" s="169">
        <f t="shared" si="20"/>
        <v>0</v>
      </c>
    </row>
    <row r="100" spans="1:13">
      <c r="A100" s="196" t="s">
        <v>1043</v>
      </c>
      <c r="B100" s="197" t="s">
        <v>1002</v>
      </c>
      <c r="C100" s="219"/>
      <c r="D100" s="219"/>
      <c r="E100" s="219">
        <v>11307.11</v>
      </c>
      <c r="F100" s="219"/>
      <c r="G100" s="219">
        <v>6486.21</v>
      </c>
      <c r="H100" s="260"/>
      <c r="I100" s="490">
        <v>0</v>
      </c>
      <c r="J100" s="260">
        <v>530</v>
      </c>
      <c r="K100" s="260"/>
      <c r="L100" s="260">
        <v>1182.54</v>
      </c>
      <c r="M100" s="169">
        <f t="shared" si="20"/>
        <v>652.54</v>
      </c>
    </row>
    <row r="101" spans="1:13">
      <c r="A101" s="196" t="s">
        <v>1004</v>
      </c>
      <c r="B101" s="197" t="s">
        <v>1001</v>
      </c>
      <c r="C101" s="219"/>
      <c r="D101" s="219"/>
      <c r="E101" s="219">
        <v>15790.19</v>
      </c>
      <c r="F101" s="219"/>
      <c r="G101" s="219">
        <v>8753.9500000000007</v>
      </c>
      <c r="H101" s="260"/>
      <c r="I101" s="490">
        <v>0</v>
      </c>
      <c r="J101" s="260">
        <v>650</v>
      </c>
      <c r="K101" s="260"/>
      <c r="L101" s="260">
        <v>1950.89</v>
      </c>
      <c r="M101" s="169">
        <f t="shared" si="20"/>
        <v>1300.8900000000001</v>
      </c>
    </row>
    <row r="102" spans="1:13">
      <c r="A102" s="196" t="s">
        <v>494</v>
      </c>
      <c r="B102" s="197" t="s">
        <v>1000</v>
      </c>
      <c r="C102" s="219"/>
      <c r="D102" s="219"/>
      <c r="E102" s="219">
        <v>3985.57</v>
      </c>
      <c r="F102" s="219"/>
      <c r="G102" s="219">
        <v>3996.84</v>
      </c>
      <c r="H102" s="260"/>
      <c r="I102" s="490">
        <v>0</v>
      </c>
      <c r="J102" s="260">
        <v>500</v>
      </c>
      <c r="K102" s="260"/>
      <c r="L102" s="260">
        <v>4193.1899999999996</v>
      </c>
      <c r="M102" s="169">
        <f t="shared" si="20"/>
        <v>3693.1899999999996</v>
      </c>
    </row>
    <row r="103" spans="1:13">
      <c r="A103" s="196" t="s">
        <v>1003</v>
      </c>
      <c r="B103" s="197" t="s">
        <v>1005</v>
      </c>
      <c r="C103" s="219">
        <v>2461.36</v>
      </c>
      <c r="D103" s="219">
        <v>13765.14</v>
      </c>
      <c r="E103" s="398">
        <v>17588.64</v>
      </c>
      <c r="F103" s="398"/>
      <c r="G103" s="398">
        <v>10188.06</v>
      </c>
      <c r="H103" s="288"/>
      <c r="I103" s="288">
        <f>SUM(I91+I98+I97)*I612+500</f>
        <v>10219.738964</v>
      </c>
      <c r="J103" s="288">
        <f>SUM(J91+J98+J97)*J612+500</f>
        <v>10848.413120000001</v>
      </c>
      <c r="K103" s="288"/>
      <c r="L103" s="288">
        <f>SUM(L91+L94+L97)*L612+1680</f>
        <v>17933.461080000001</v>
      </c>
      <c r="M103" s="169">
        <f t="shared" si="20"/>
        <v>7085.0479599999999</v>
      </c>
    </row>
    <row r="104" spans="1:13">
      <c r="A104" s="196" t="s">
        <v>1332</v>
      </c>
      <c r="B104" s="197" t="s">
        <v>1006</v>
      </c>
      <c r="C104" s="219"/>
      <c r="D104" s="219"/>
      <c r="E104" s="398">
        <v>8608.9500000000007</v>
      </c>
      <c r="F104" s="398"/>
      <c r="G104" s="398">
        <v>13393.84</v>
      </c>
      <c r="H104" s="288"/>
      <c r="I104" s="288">
        <f>SUM(I92)*I612+1000</f>
        <v>13339.937116000001</v>
      </c>
      <c r="J104" s="288">
        <f>SUM(J92)*J612+1000</f>
        <v>13694.783752000001</v>
      </c>
      <c r="K104" s="288"/>
      <c r="L104" s="288">
        <f>SUM(L92)*L612+650</f>
        <v>5313.6138800000008</v>
      </c>
      <c r="M104" s="169">
        <f t="shared" si="20"/>
        <v>-8381.1698720000004</v>
      </c>
    </row>
    <row r="105" spans="1:13">
      <c r="A105" s="196" t="s">
        <v>495</v>
      </c>
      <c r="B105" s="197" t="s">
        <v>1007</v>
      </c>
      <c r="C105" s="219"/>
      <c r="D105" s="219"/>
      <c r="E105" s="398">
        <v>15245.35</v>
      </c>
      <c r="F105" s="398"/>
      <c r="G105" s="398">
        <v>7392.48</v>
      </c>
      <c r="H105" s="288"/>
      <c r="I105" s="288">
        <f>SUM(I93+I99)*I612+500</f>
        <v>10737.730831999999</v>
      </c>
      <c r="J105" s="288">
        <f>SUM(J93+J99)*J612+500</f>
        <v>10328.220536000001</v>
      </c>
      <c r="K105" s="288"/>
      <c r="L105" s="288">
        <f>SUM(L93)*L612+650</f>
        <v>10673.862860000001</v>
      </c>
      <c r="M105" s="169">
        <f t="shared" si="20"/>
        <v>345.64232400000037</v>
      </c>
    </row>
    <row r="106" spans="1:13">
      <c r="A106" s="196" t="s">
        <v>1041</v>
      </c>
      <c r="B106" s="197" t="s">
        <v>1008</v>
      </c>
      <c r="C106" s="219">
        <v>0</v>
      </c>
      <c r="D106" s="219">
        <v>20961.73</v>
      </c>
      <c r="E106" s="398">
        <v>1060.49</v>
      </c>
      <c r="F106" s="398"/>
      <c r="G106" s="398">
        <v>1728.89</v>
      </c>
      <c r="H106" s="288"/>
      <c r="I106" s="288">
        <f>(I91+I94+I97+I98)*I613</f>
        <v>2009.7031949999998</v>
      </c>
      <c r="J106" s="288">
        <f>(J91+J94+J97+J98)*J613</f>
        <v>1959.9606000000001</v>
      </c>
      <c r="K106" s="288"/>
      <c r="L106" s="288">
        <f>(L91+L94+L97+L98)*L613</f>
        <v>2808.01665</v>
      </c>
      <c r="M106" s="169">
        <f t="shared" si="20"/>
        <v>848.05604999999991</v>
      </c>
    </row>
    <row r="107" spans="1:13">
      <c r="A107" s="196" t="s">
        <v>1010</v>
      </c>
      <c r="B107" s="197" t="s">
        <v>1009</v>
      </c>
      <c r="C107" s="219"/>
      <c r="D107" s="219"/>
      <c r="E107" s="219">
        <v>1551.34</v>
      </c>
      <c r="F107" s="219"/>
      <c r="G107" s="398">
        <v>2263.0500000000002</v>
      </c>
      <c r="H107" s="288"/>
      <c r="I107" s="288">
        <f>(I92+I95)*I613</f>
        <v>2341.1272050000002</v>
      </c>
      <c r="J107" s="288">
        <f>(J92+J95)*J613</f>
        <v>2406.63951</v>
      </c>
      <c r="K107" s="288"/>
      <c r="L107" s="288">
        <f>(L92+L95)*L613</f>
        <v>805.70564999999999</v>
      </c>
      <c r="M107" s="169">
        <f t="shared" si="20"/>
        <v>-1600.9338600000001</v>
      </c>
    </row>
    <row r="108" spans="1:13">
      <c r="A108" s="196" t="s">
        <v>496</v>
      </c>
      <c r="B108" s="197" t="s">
        <v>499</v>
      </c>
      <c r="C108" s="219">
        <v>4.08</v>
      </c>
      <c r="D108" s="219"/>
      <c r="E108" s="219">
        <v>2352.6999999999998</v>
      </c>
      <c r="F108" s="219"/>
      <c r="G108" s="398">
        <v>1299</v>
      </c>
      <c r="H108" s="288"/>
      <c r="I108" s="288">
        <f>(I93+I96+I99)*I613</f>
        <v>1779.8061599999999</v>
      </c>
      <c r="J108" s="288">
        <f>(J93+J96+J99)*J613</f>
        <v>1863.2049299999999</v>
      </c>
      <c r="K108" s="288"/>
      <c r="L108" s="288">
        <f>(L93+L96+L99)*L613</f>
        <v>1731.7649249999999</v>
      </c>
      <c r="M108" s="169">
        <f t="shared" si="20"/>
        <v>-131.44000499999993</v>
      </c>
    </row>
    <row r="109" spans="1:13">
      <c r="A109" s="196" t="s">
        <v>900</v>
      </c>
      <c r="B109" s="197" t="s">
        <v>427</v>
      </c>
      <c r="C109" s="219"/>
      <c r="D109" s="219">
        <v>4226.42</v>
      </c>
      <c r="E109" s="219">
        <v>21.92</v>
      </c>
      <c r="F109" s="219"/>
      <c r="G109" s="219">
        <v>33.61</v>
      </c>
      <c r="H109" s="260"/>
      <c r="I109" s="490">
        <v>40</v>
      </c>
      <c r="J109" s="260">
        <v>40</v>
      </c>
      <c r="K109" s="260"/>
      <c r="L109" s="260">
        <v>40</v>
      </c>
      <c r="M109" s="169">
        <f t="shared" si="20"/>
        <v>0</v>
      </c>
    </row>
    <row r="110" spans="1:13">
      <c r="A110" s="196" t="s">
        <v>1014</v>
      </c>
      <c r="B110" s="197" t="s">
        <v>1013</v>
      </c>
      <c r="C110" s="219"/>
      <c r="D110" s="219"/>
      <c r="E110" s="219">
        <v>97.75</v>
      </c>
      <c r="F110" s="219"/>
      <c r="G110" s="219">
        <v>391.52</v>
      </c>
      <c r="H110" s="260"/>
      <c r="I110" s="490">
        <v>0</v>
      </c>
      <c r="J110" s="260">
        <v>750</v>
      </c>
      <c r="K110" s="260"/>
      <c r="L110" s="260">
        <v>750</v>
      </c>
      <c r="M110" s="169">
        <f t="shared" si="20"/>
        <v>0</v>
      </c>
    </row>
    <row r="111" spans="1:13">
      <c r="A111" s="196" t="s">
        <v>498</v>
      </c>
      <c r="B111" s="197" t="s">
        <v>1011</v>
      </c>
      <c r="C111" s="219">
        <v>1037.4770000000001</v>
      </c>
      <c r="D111" s="219">
        <v>280.25</v>
      </c>
      <c r="E111" s="219">
        <v>336.7</v>
      </c>
      <c r="F111" s="219"/>
      <c r="G111" s="219">
        <v>670.48</v>
      </c>
      <c r="H111" s="260"/>
      <c r="I111" s="490">
        <v>2500</v>
      </c>
      <c r="J111" s="260">
        <v>750</v>
      </c>
      <c r="K111" s="260"/>
      <c r="L111" s="260">
        <v>750</v>
      </c>
      <c r="M111" s="169">
        <f t="shared" si="20"/>
        <v>0</v>
      </c>
    </row>
    <row r="112" spans="1:13">
      <c r="A112" s="196" t="s">
        <v>497</v>
      </c>
      <c r="B112" s="197" t="s">
        <v>1012</v>
      </c>
      <c r="C112" s="219">
        <v>967.74</v>
      </c>
      <c r="D112" s="219">
        <v>1047.25</v>
      </c>
      <c r="E112" s="219">
        <v>962.58</v>
      </c>
      <c r="F112" s="219"/>
      <c r="G112" s="219">
        <v>5696.28</v>
      </c>
      <c r="H112" s="260"/>
      <c r="I112" s="490">
        <v>10410</v>
      </c>
      <c r="J112" s="260">
        <v>750</v>
      </c>
      <c r="K112" s="260"/>
      <c r="L112" s="260">
        <v>750</v>
      </c>
      <c r="M112" s="169">
        <f t="shared" si="20"/>
        <v>0</v>
      </c>
    </row>
    <row r="113" spans="1:16">
      <c r="A113" s="196" t="s">
        <v>1380</v>
      </c>
      <c r="B113" s="197" t="s">
        <v>1383</v>
      </c>
      <c r="C113" s="219"/>
      <c r="D113" s="219"/>
      <c r="E113" s="219"/>
      <c r="F113" s="219"/>
      <c r="G113" s="219">
        <v>491.18</v>
      </c>
      <c r="H113" s="260"/>
      <c r="I113" s="490"/>
      <c r="J113" s="260">
        <v>0</v>
      </c>
      <c r="K113" s="260"/>
      <c r="L113" s="260">
        <v>0</v>
      </c>
      <c r="M113" s="169">
        <f t="shared" si="20"/>
        <v>0</v>
      </c>
    </row>
    <row r="114" spans="1:16">
      <c r="A114" s="196" t="s">
        <v>1381</v>
      </c>
      <c r="B114" s="197" t="s">
        <v>1384</v>
      </c>
      <c r="C114" s="219"/>
      <c r="D114" s="219"/>
      <c r="E114" s="219"/>
      <c r="F114" s="219"/>
      <c r="G114" s="219"/>
      <c r="H114" s="260"/>
      <c r="I114" s="490"/>
      <c r="J114" s="260"/>
      <c r="K114" s="260"/>
      <c r="L114" s="260"/>
      <c r="M114" s="169">
        <f t="shared" si="20"/>
        <v>0</v>
      </c>
    </row>
    <row r="115" spans="1:16">
      <c r="A115" s="196" t="s">
        <v>1382</v>
      </c>
      <c r="B115" s="197" t="s">
        <v>1385</v>
      </c>
      <c r="C115" s="219"/>
      <c r="D115" s="219"/>
      <c r="E115" s="219"/>
      <c r="F115" s="219"/>
      <c r="G115" s="219">
        <f>-0.1+8710.15</f>
        <v>8710.0499999999993</v>
      </c>
      <c r="H115" s="260"/>
      <c r="I115" s="490"/>
      <c r="J115" s="260"/>
      <c r="K115" s="260"/>
      <c r="L115" s="260"/>
      <c r="M115" s="169">
        <f t="shared" si="20"/>
        <v>0</v>
      </c>
    </row>
    <row r="116" spans="1:16">
      <c r="A116" s="196" t="s">
        <v>877</v>
      </c>
      <c r="B116" s="197" t="s">
        <v>878</v>
      </c>
      <c r="C116" s="219"/>
      <c r="D116" s="219">
        <v>79.13</v>
      </c>
      <c r="E116" s="219">
        <v>684.58</v>
      </c>
      <c r="F116" s="219"/>
      <c r="G116" s="219">
        <v>32.630000000000003</v>
      </c>
      <c r="H116" s="260"/>
      <c r="I116" s="490">
        <v>690</v>
      </c>
      <c r="J116" s="260">
        <v>690</v>
      </c>
      <c r="K116" s="260"/>
      <c r="L116" s="260">
        <v>690</v>
      </c>
      <c r="M116" s="169">
        <f t="shared" si="20"/>
        <v>0</v>
      </c>
    </row>
    <row r="117" spans="1:16">
      <c r="A117" s="196" t="s">
        <v>946</v>
      </c>
      <c r="B117" s="197" t="s">
        <v>948</v>
      </c>
      <c r="C117" s="219"/>
      <c r="D117" s="219"/>
      <c r="E117" s="219">
        <v>315.86</v>
      </c>
      <c r="F117" s="219"/>
      <c r="G117" s="219">
        <v>324.97000000000003</v>
      </c>
      <c r="H117" s="260"/>
      <c r="I117" s="490">
        <v>400</v>
      </c>
      <c r="J117" s="260">
        <v>400</v>
      </c>
      <c r="K117" s="260"/>
      <c r="L117" s="260">
        <v>400</v>
      </c>
      <c r="M117" s="169">
        <f t="shared" si="20"/>
        <v>0</v>
      </c>
    </row>
    <row r="118" spans="1:16">
      <c r="A118" s="196" t="s">
        <v>947</v>
      </c>
      <c r="B118" s="197" t="s">
        <v>949</v>
      </c>
      <c r="C118" s="219"/>
      <c r="D118" s="219"/>
      <c r="E118" s="219">
        <v>505.09</v>
      </c>
      <c r="F118" s="219"/>
      <c r="G118" s="219">
        <v>453.5</v>
      </c>
      <c r="H118" s="260"/>
      <c r="I118" s="490">
        <v>700</v>
      </c>
      <c r="J118" s="260">
        <v>700</v>
      </c>
      <c r="K118" s="260"/>
      <c r="L118" s="260">
        <v>700</v>
      </c>
      <c r="M118" s="169">
        <f t="shared" si="20"/>
        <v>0</v>
      </c>
    </row>
    <row r="119" spans="1:16">
      <c r="A119" s="196" t="s">
        <v>865</v>
      </c>
      <c r="B119" s="197" t="s">
        <v>1460</v>
      </c>
      <c r="C119" s="219">
        <v>35.69</v>
      </c>
      <c r="D119" s="219">
        <v>134.47</v>
      </c>
      <c r="E119" s="219">
        <v>63.47</v>
      </c>
      <c r="F119" s="219"/>
      <c r="G119" s="219">
        <v>200.84</v>
      </c>
      <c r="H119" s="260"/>
      <c r="I119" s="490">
        <v>500</v>
      </c>
      <c r="J119" s="260">
        <v>500</v>
      </c>
      <c r="K119" s="260"/>
      <c r="L119" s="260">
        <v>750</v>
      </c>
      <c r="M119" s="169">
        <f t="shared" si="20"/>
        <v>250</v>
      </c>
    </row>
    <row r="120" spans="1:16">
      <c r="A120" s="170"/>
    </row>
    <row r="121" spans="1:16">
      <c r="A121" s="176">
        <v>122</v>
      </c>
      <c r="B121" s="167" t="s">
        <v>298</v>
      </c>
      <c r="C121" s="221">
        <f>SUM(C93:C120)</f>
        <v>4561.3469999999998</v>
      </c>
      <c r="D121" s="221">
        <f>SUM(D93:D120)</f>
        <v>101619.51000000001</v>
      </c>
      <c r="E121" s="221">
        <f t="shared" ref="E121:M121" si="21">SUM(E91:E120)</f>
        <v>141003.99</v>
      </c>
      <c r="F121" s="221"/>
      <c r="G121" s="221">
        <f t="shared" si="21"/>
        <v>145879.23999999996</v>
      </c>
      <c r="H121" s="174"/>
      <c r="I121" s="494">
        <f t="shared" si="21"/>
        <v>135807.08347199997</v>
      </c>
      <c r="J121" s="174">
        <f t="shared" si="21"/>
        <v>128796.582448</v>
      </c>
      <c r="K121" s="174"/>
      <c r="L121" s="174">
        <f t="shared" ref="L121" si="22">SUM(L91:L120)</f>
        <v>121298.69504500001</v>
      </c>
      <c r="M121" s="174">
        <f t="shared" si="21"/>
        <v>-7497.8874029999988</v>
      </c>
      <c r="P121" s="229"/>
    </row>
    <row r="122" spans="1:16">
      <c r="A122" s="170"/>
    </row>
    <row r="123" spans="1:16" s="197" customFormat="1" ht="12.95" customHeight="1">
      <c r="A123" s="196" t="s">
        <v>516</v>
      </c>
      <c r="B123" s="197" t="s">
        <v>517</v>
      </c>
      <c r="C123" s="219">
        <v>26605.53</v>
      </c>
      <c r="D123" s="219">
        <v>25622.240000000002</v>
      </c>
      <c r="E123" s="219">
        <v>26427.21</v>
      </c>
      <c r="F123" s="219"/>
      <c r="G123" s="219">
        <v>23343.24</v>
      </c>
      <c r="H123" s="260"/>
      <c r="I123" s="490">
        <v>24981.01</v>
      </c>
      <c r="J123" s="260">
        <v>24981.01</v>
      </c>
      <c r="K123" s="260"/>
      <c r="L123" s="260">
        <v>38744.68</v>
      </c>
      <c r="M123" s="169">
        <f t="shared" ref="M123:M127" si="23">L123-J123</f>
        <v>13763.670000000002</v>
      </c>
      <c r="N123" s="198"/>
      <c r="P123" s="219"/>
    </row>
    <row r="124" spans="1:16" s="197" customFormat="1" ht="12.95" customHeight="1">
      <c r="A124" s="196" t="s">
        <v>518</v>
      </c>
      <c r="B124" s="197" t="s">
        <v>519</v>
      </c>
      <c r="C124" s="219">
        <v>9212.0300000000007</v>
      </c>
      <c r="D124" s="219">
        <v>11228.81</v>
      </c>
      <c r="E124" s="398">
        <v>9217.5</v>
      </c>
      <c r="F124" s="398"/>
      <c r="G124" s="398">
        <v>10071.02</v>
      </c>
      <c r="H124" s="288"/>
      <c r="I124" s="491">
        <f>SUM(I123)*I612+880</f>
        <v>11941.591227999999</v>
      </c>
      <c r="J124" s="288">
        <f>SUM(J123)*J612+880</f>
        <v>11941.591227999999</v>
      </c>
      <c r="K124" s="288"/>
      <c r="L124" s="288">
        <f>SUM(L123)*L612+2300</f>
        <v>19456.144304000001</v>
      </c>
      <c r="M124" s="169">
        <f t="shared" si="23"/>
        <v>7514.553076000002</v>
      </c>
      <c r="N124" s="198"/>
      <c r="P124" s="219"/>
    </row>
    <row r="125" spans="1:16" s="197" customFormat="1" ht="12.95" customHeight="1">
      <c r="A125" s="196" t="s">
        <v>520</v>
      </c>
      <c r="B125" s="197" t="s">
        <v>521</v>
      </c>
      <c r="C125" s="219">
        <v>2015.68</v>
      </c>
      <c r="D125" s="219">
        <v>1967.86</v>
      </c>
      <c r="E125" s="398">
        <v>2000.72</v>
      </c>
      <c r="F125" s="398"/>
      <c r="G125" s="398">
        <v>1765.67</v>
      </c>
      <c r="H125" s="288"/>
      <c r="I125" s="491">
        <f>SUM(I123)*I613</f>
        <v>1911.0472649999999</v>
      </c>
      <c r="J125" s="288">
        <f>SUM(J123)*J613</f>
        <v>1911.0472649999999</v>
      </c>
      <c r="K125" s="288"/>
      <c r="L125" s="288">
        <f>SUM(L123)*L613</f>
        <v>2963.9680199999998</v>
      </c>
      <c r="M125" s="169">
        <f t="shared" si="23"/>
        <v>1052.9207549999999</v>
      </c>
      <c r="N125" s="198"/>
      <c r="P125" s="219"/>
    </row>
    <row r="126" spans="1:16" s="197" customFormat="1" ht="12.95" customHeight="1">
      <c r="A126" s="196" t="s">
        <v>1027</v>
      </c>
      <c r="B126" s="197" t="s">
        <v>427</v>
      </c>
      <c r="C126" s="219"/>
      <c r="D126" s="219"/>
      <c r="E126" s="219"/>
      <c r="F126" s="219"/>
      <c r="G126" s="219">
        <v>110.62</v>
      </c>
      <c r="H126" s="260"/>
      <c r="I126" s="490">
        <v>120</v>
      </c>
      <c r="J126" s="260">
        <v>120</v>
      </c>
      <c r="K126" s="260"/>
      <c r="L126" s="260">
        <v>120</v>
      </c>
      <c r="M126" s="169">
        <f t="shared" si="23"/>
        <v>0</v>
      </c>
      <c r="N126" s="198"/>
      <c r="P126" s="219"/>
    </row>
    <row r="127" spans="1:16" s="197" customFormat="1" ht="12.95" customHeight="1">
      <c r="A127" s="196" t="s">
        <v>1028</v>
      </c>
      <c r="B127" s="197" t="s">
        <v>1029</v>
      </c>
      <c r="C127" s="219"/>
      <c r="D127" s="219"/>
      <c r="E127" s="219">
        <v>92.86</v>
      </c>
      <c r="F127" s="219"/>
      <c r="G127" s="219">
        <v>118</v>
      </c>
      <c r="H127" s="260"/>
      <c r="I127" s="490">
        <v>100</v>
      </c>
      <c r="J127" s="260">
        <v>100</v>
      </c>
      <c r="K127" s="260"/>
      <c r="L127" s="260">
        <v>11500</v>
      </c>
      <c r="M127" s="169">
        <f t="shared" si="23"/>
        <v>11400</v>
      </c>
      <c r="N127" s="198"/>
      <c r="P127" s="219"/>
    </row>
    <row r="128" spans="1:16">
      <c r="A128" s="170"/>
    </row>
    <row r="129" spans="1:16" s="167" customFormat="1">
      <c r="A129" s="176">
        <v>219</v>
      </c>
      <c r="B129" s="167" t="s">
        <v>515</v>
      </c>
      <c r="C129" s="174">
        <f t="shared" ref="C129:M129" si="24">SUM(C123:C128)</f>
        <v>37833.24</v>
      </c>
      <c r="D129" s="221">
        <f t="shared" si="24"/>
        <v>38818.910000000003</v>
      </c>
      <c r="E129" s="221">
        <f t="shared" si="24"/>
        <v>37738.29</v>
      </c>
      <c r="F129" s="221"/>
      <c r="G129" s="221">
        <f t="shared" ref="G129" si="25">SUM(G123:G128)</f>
        <v>35408.550000000003</v>
      </c>
      <c r="H129" s="174"/>
      <c r="I129" s="494">
        <f t="shared" ref="I129" si="26">SUM(I123:I128)</f>
        <v>39053.648493000001</v>
      </c>
      <c r="J129" s="174">
        <f t="shared" ref="J129:L129" si="27">SUM(J123:J128)</f>
        <v>39053.648493000001</v>
      </c>
      <c r="K129" s="174"/>
      <c r="L129" s="174">
        <f t="shared" si="27"/>
        <v>72784.792324000009</v>
      </c>
      <c r="M129" s="174">
        <f t="shared" si="24"/>
        <v>33731.143831000001</v>
      </c>
      <c r="P129" s="229"/>
    </row>
    <row r="130" spans="1:16" s="167" customFormat="1">
      <c r="A130" s="176"/>
      <c r="C130" s="177"/>
      <c r="D130" s="222"/>
      <c r="E130" s="222"/>
      <c r="F130" s="222"/>
      <c r="G130" s="222"/>
      <c r="H130" s="177"/>
      <c r="I130" s="495"/>
      <c r="J130" s="177"/>
      <c r="K130" s="177"/>
      <c r="L130" s="177"/>
      <c r="M130" s="177"/>
      <c r="P130" s="229"/>
    </row>
    <row r="131" spans="1:16">
      <c r="A131" s="164">
        <v>112123190</v>
      </c>
      <c r="B131" s="195" t="s">
        <v>1179</v>
      </c>
      <c r="E131" s="182">
        <v>546.92999999999995</v>
      </c>
      <c r="G131" s="182">
        <v>0</v>
      </c>
      <c r="I131" s="492">
        <v>550</v>
      </c>
      <c r="J131" s="168">
        <v>550</v>
      </c>
      <c r="L131" s="168">
        <v>550</v>
      </c>
      <c r="M131" s="169">
        <f>L131-J131</f>
        <v>0</v>
      </c>
    </row>
    <row r="132" spans="1:16" s="195" customFormat="1" ht="5.25" customHeight="1">
      <c r="A132" s="369"/>
      <c r="C132" s="368"/>
      <c r="D132" s="370"/>
      <c r="E132" s="399"/>
      <c r="F132" s="399"/>
      <c r="G132" s="516"/>
      <c r="H132" s="371"/>
      <c r="I132" s="496"/>
      <c r="J132" s="371"/>
      <c r="K132" s="371"/>
      <c r="L132" s="371"/>
      <c r="M132" s="371"/>
      <c r="N132" s="371"/>
      <c r="P132" s="403"/>
    </row>
    <row r="133" spans="1:16" s="195" customFormat="1">
      <c r="A133" s="375">
        <v>212</v>
      </c>
      <c r="B133" s="373" t="s">
        <v>1178</v>
      </c>
      <c r="C133" s="374">
        <f>SUM(C131:C132)</f>
        <v>0</v>
      </c>
      <c r="D133" s="374">
        <f>SUM(D131:D132)</f>
        <v>0</v>
      </c>
      <c r="E133" s="400">
        <f>SUM(E131:E132)</f>
        <v>546.92999999999995</v>
      </c>
      <c r="F133" s="400"/>
      <c r="G133" s="400">
        <f>SUM(G131:G132)</f>
        <v>0</v>
      </c>
      <c r="H133" s="374"/>
      <c r="I133" s="497">
        <f>SUM(I131:I132)</f>
        <v>550</v>
      </c>
      <c r="J133" s="374">
        <f>SUM(J131:J132)</f>
        <v>550</v>
      </c>
      <c r="K133" s="374"/>
      <c r="L133" s="374">
        <f>SUM(L131:L132)</f>
        <v>550</v>
      </c>
      <c r="M133" s="374">
        <f>SUM(M131:M132)</f>
        <v>0</v>
      </c>
      <c r="N133" s="372">
        <f>SUM(N131:N132)</f>
        <v>0</v>
      </c>
      <c r="P133" s="229"/>
    </row>
    <row r="134" spans="1:16" s="167" customFormat="1">
      <c r="A134" s="176"/>
      <c r="C134" s="229"/>
      <c r="D134" s="222"/>
      <c r="E134" s="222"/>
      <c r="F134" s="222"/>
      <c r="G134" s="222"/>
      <c r="H134" s="177"/>
      <c r="I134" s="495"/>
      <c r="J134" s="177"/>
      <c r="K134" s="177"/>
      <c r="L134" s="177"/>
      <c r="M134" s="177"/>
      <c r="P134" s="229"/>
    </row>
    <row r="135" spans="1:16" s="197" customFormat="1" ht="12.95" customHeight="1">
      <c r="A135" s="196" t="s">
        <v>530</v>
      </c>
      <c r="B135" s="197" t="s">
        <v>531</v>
      </c>
      <c r="C135" s="219">
        <v>11403.88</v>
      </c>
      <c r="D135" s="219">
        <v>5161.17</v>
      </c>
      <c r="E135" s="219">
        <v>5800</v>
      </c>
      <c r="F135" s="219"/>
      <c r="G135" s="219">
        <v>1875</v>
      </c>
      <c r="H135" s="260"/>
      <c r="I135" s="490">
        <v>5800</v>
      </c>
      <c r="J135" s="260">
        <v>5800</v>
      </c>
      <c r="K135" s="260"/>
      <c r="L135" s="260">
        <v>5800</v>
      </c>
      <c r="M135" s="169">
        <f t="shared" ref="M135:M143" si="28">L135-J135</f>
        <v>0</v>
      </c>
      <c r="N135" s="198"/>
      <c r="P135" s="219"/>
    </row>
    <row r="136" spans="1:16" s="197" customFormat="1" ht="12.95" customHeight="1">
      <c r="A136" s="196" t="s">
        <v>522</v>
      </c>
      <c r="B136" s="197" t="s">
        <v>523</v>
      </c>
      <c r="C136" s="219">
        <v>11393.3</v>
      </c>
      <c r="D136" s="219">
        <v>6087.49</v>
      </c>
      <c r="E136" s="219">
        <v>26004.49</v>
      </c>
      <c r="F136" s="219"/>
      <c r="G136" s="219">
        <v>10059.959999999999</v>
      </c>
      <c r="H136" s="260"/>
      <c r="I136" s="490">
        <v>25000</v>
      </c>
      <c r="J136" s="260">
        <v>25000</v>
      </c>
      <c r="K136" s="260"/>
      <c r="L136" s="260">
        <v>10000</v>
      </c>
      <c r="M136" s="169">
        <f t="shared" si="28"/>
        <v>-15000</v>
      </c>
      <c r="N136" s="198"/>
      <c r="P136" s="219"/>
    </row>
    <row r="137" spans="1:16" s="197" customFormat="1" ht="12.95" customHeight="1">
      <c r="A137" s="196" t="s">
        <v>524</v>
      </c>
      <c r="B137" s="197" t="s">
        <v>525</v>
      </c>
      <c r="C137" s="219">
        <v>12245</v>
      </c>
      <c r="D137" s="219">
        <v>12100</v>
      </c>
      <c r="E137" s="219">
        <v>12750</v>
      </c>
      <c r="F137" s="219"/>
      <c r="G137" s="219">
        <v>11500</v>
      </c>
      <c r="H137" s="260"/>
      <c r="I137" s="490">
        <v>12750</v>
      </c>
      <c r="J137" s="260">
        <v>12750</v>
      </c>
      <c r="K137" s="260"/>
      <c r="L137" s="260">
        <v>11800</v>
      </c>
      <c r="M137" s="169">
        <f t="shared" si="28"/>
        <v>-950</v>
      </c>
      <c r="N137" s="198"/>
      <c r="P137" s="219"/>
    </row>
    <row r="138" spans="1:16" s="197" customFormat="1" ht="12.95" customHeight="1">
      <c r="A138" s="196" t="s">
        <v>528</v>
      </c>
      <c r="B138" s="197" t="s">
        <v>529</v>
      </c>
      <c r="C138" s="219"/>
      <c r="D138" s="219"/>
      <c r="E138" s="219"/>
      <c r="F138" s="219"/>
      <c r="G138" s="219">
        <v>31.8</v>
      </c>
      <c r="H138" s="260"/>
      <c r="I138" s="490">
        <v>100</v>
      </c>
      <c r="J138" s="260">
        <v>100</v>
      </c>
      <c r="K138" s="260"/>
      <c r="L138" s="260">
        <v>100</v>
      </c>
      <c r="M138" s="169">
        <f t="shared" si="28"/>
        <v>0</v>
      </c>
      <c r="N138" s="198"/>
      <c r="P138" s="219"/>
    </row>
    <row r="139" spans="1:16" s="197" customFormat="1" ht="12.95" customHeight="1">
      <c r="A139" s="196" t="s">
        <v>1407</v>
      </c>
      <c r="B139" s="197" t="s">
        <v>1408</v>
      </c>
      <c r="C139" s="219"/>
      <c r="D139" s="219"/>
      <c r="E139" s="219"/>
      <c r="F139" s="219"/>
      <c r="G139" s="219">
        <v>180</v>
      </c>
      <c r="H139" s="260"/>
      <c r="I139" s="490"/>
      <c r="J139" s="260"/>
      <c r="K139" s="260"/>
      <c r="L139" s="260"/>
      <c r="M139" s="169"/>
      <c r="N139" s="198"/>
      <c r="P139" s="219"/>
    </row>
    <row r="140" spans="1:16" s="197" customFormat="1" ht="12.95" customHeight="1">
      <c r="A140" s="196" t="s">
        <v>526</v>
      </c>
      <c r="B140" s="197" t="s">
        <v>527</v>
      </c>
      <c r="C140" s="219"/>
      <c r="D140" s="219">
        <v>1113.03</v>
      </c>
      <c r="E140" s="219">
        <v>2148.16</v>
      </c>
      <c r="F140" s="219"/>
      <c r="G140" s="219">
        <v>253.38</v>
      </c>
      <c r="H140" s="260"/>
      <c r="I140" s="490">
        <v>1980</v>
      </c>
      <c r="J140" s="260">
        <v>1980</v>
      </c>
      <c r="K140" s="260"/>
      <c r="L140" s="260">
        <v>500</v>
      </c>
      <c r="M140" s="169">
        <f t="shared" si="28"/>
        <v>-1480</v>
      </c>
      <c r="N140" s="198"/>
      <c r="P140" s="219"/>
    </row>
    <row r="141" spans="1:16" s="197" customFormat="1" ht="12.95" customHeight="1">
      <c r="A141" s="196" t="s">
        <v>532</v>
      </c>
      <c r="B141" s="197" t="s">
        <v>533</v>
      </c>
      <c r="C141" s="219">
        <v>1232</v>
      </c>
      <c r="D141" s="219">
        <v>5145.3599999999997</v>
      </c>
      <c r="E141" s="219">
        <v>2077.48</v>
      </c>
      <c r="F141" s="219"/>
      <c r="G141" s="219">
        <v>1435.64</v>
      </c>
      <c r="H141" s="260"/>
      <c r="I141" s="490">
        <v>4730</v>
      </c>
      <c r="J141" s="260">
        <v>4730</v>
      </c>
      <c r="K141" s="260"/>
      <c r="L141" s="260">
        <v>4730</v>
      </c>
      <c r="M141" s="169">
        <f t="shared" si="28"/>
        <v>0</v>
      </c>
      <c r="N141" s="198" t="s">
        <v>534</v>
      </c>
      <c r="P141" s="219"/>
    </row>
    <row r="142" spans="1:16" s="197" customFormat="1" ht="12.95" customHeight="1">
      <c r="A142" s="196" t="s">
        <v>1388</v>
      </c>
      <c r="B142" s="197" t="s">
        <v>1389</v>
      </c>
      <c r="C142" s="219"/>
      <c r="D142" s="219"/>
      <c r="E142" s="219"/>
      <c r="F142" s="219"/>
      <c r="G142" s="219">
        <v>34</v>
      </c>
      <c r="H142" s="260"/>
      <c r="I142" s="490"/>
      <c r="J142" s="260"/>
      <c r="K142" s="260"/>
      <c r="L142" s="260"/>
      <c r="M142" s="169">
        <f t="shared" si="28"/>
        <v>0</v>
      </c>
      <c r="N142" s="198"/>
      <c r="P142" s="219"/>
    </row>
    <row r="143" spans="1:16" s="197" customFormat="1" ht="12.95" customHeight="1">
      <c r="A143" s="196" t="s">
        <v>974</v>
      </c>
      <c r="B143" s="197" t="s">
        <v>975</v>
      </c>
      <c r="C143" s="219"/>
      <c r="D143" s="219">
        <v>24138.560000000001</v>
      </c>
      <c r="E143" s="219"/>
      <c r="F143" s="219"/>
      <c r="G143" s="219"/>
      <c r="H143" s="260"/>
      <c r="I143" s="490"/>
      <c r="J143" s="260"/>
      <c r="K143" s="260"/>
      <c r="L143" s="260"/>
      <c r="M143" s="169">
        <f t="shared" si="28"/>
        <v>0</v>
      </c>
      <c r="N143" s="198"/>
      <c r="P143" s="219"/>
    </row>
    <row r="144" spans="1:16">
      <c r="A144" s="170"/>
    </row>
    <row r="145" spans="1:16" s="167" customFormat="1">
      <c r="A145" s="176" t="s">
        <v>9</v>
      </c>
      <c r="B145" s="167" t="s">
        <v>8</v>
      </c>
      <c r="C145" s="174">
        <f t="shared" ref="C145" si="29">SUM(C135:C141)</f>
        <v>36274.18</v>
      </c>
      <c r="D145" s="221">
        <f>SUM(D135:D143)</f>
        <v>53745.61</v>
      </c>
      <c r="E145" s="221">
        <f t="shared" ref="E145:M145" si="30">SUM(E135:E143)</f>
        <v>48780.130000000012</v>
      </c>
      <c r="F145" s="221"/>
      <c r="G145" s="221">
        <f>SUM(G135:G143)</f>
        <v>25369.78</v>
      </c>
      <c r="H145" s="174"/>
      <c r="I145" s="494">
        <f t="shared" ref="I145" si="31">SUM(I135:I143)</f>
        <v>50360</v>
      </c>
      <c r="J145" s="174">
        <f t="shared" ref="J145:L145" si="32">SUM(J135:J143)</f>
        <v>50360</v>
      </c>
      <c r="K145" s="174"/>
      <c r="L145" s="174">
        <f t="shared" si="32"/>
        <v>32930</v>
      </c>
      <c r="M145" s="174">
        <f t="shared" si="30"/>
        <v>-17430</v>
      </c>
      <c r="P145" s="229"/>
    </row>
    <row r="146" spans="1:16">
      <c r="A146" s="170"/>
    </row>
    <row r="147" spans="1:16" s="197" customFormat="1" ht="12.95" customHeight="1">
      <c r="A147" s="196" t="s">
        <v>535</v>
      </c>
      <c r="B147" s="197" t="s">
        <v>536</v>
      </c>
      <c r="C147" s="219">
        <v>30686.19</v>
      </c>
      <c r="D147" s="219">
        <v>29399.98</v>
      </c>
      <c r="E147" s="219">
        <v>40000.120000000003</v>
      </c>
      <c r="F147" s="219"/>
      <c r="G147" s="219">
        <v>39999.96</v>
      </c>
      <c r="H147" s="260"/>
      <c r="I147" s="490">
        <v>40000</v>
      </c>
      <c r="J147" s="260">
        <v>40000</v>
      </c>
      <c r="K147" s="260"/>
      <c r="L147" s="260">
        <v>80000</v>
      </c>
      <c r="M147" s="169">
        <f t="shared" ref="M147:M161" si="33">L147-J147</f>
        <v>40000</v>
      </c>
      <c r="N147" s="198"/>
      <c r="P147" s="219"/>
    </row>
    <row r="148" spans="1:16" s="197" customFormat="1" ht="12.95" customHeight="1">
      <c r="A148" s="196" t="s">
        <v>537</v>
      </c>
      <c r="B148" s="197" t="s">
        <v>858</v>
      </c>
      <c r="C148" s="219">
        <v>3247.5</v>
      </c>
      <c r="D148" s="219"/>
      <c r="E148" s="219"/>
      <c r="F148" s="219"/>
      <c r="G148" s="219"/>
      <c r="H148" s="260"/>
      <c r="I148" s="490"/>
      <c r="J148" s="260"/>
      <c r="K148" s="260"/>
      <c r="L148" s="260"/>
      <c r="M148" s="169">
        <f t="shared" si="33"/>
        <v>0</v>
      </c>
      <c r="N148" s="198"/>
      <c r="P148" s="219"/>
    </row>
    <row r="149" spans="1:16" s="197" customFormat="1" ht="12.95" customHeight="1">
      <c r="A149" s="196" t="s">
        <v>539</v>
      </c>
      <c r="B149" s="197" t="s">
        <v>540</v>
      </c>
      <c r="C149" s="219">
        <v>-300</v>
      </c>
      <c r="D149" s="219">
        <v>1531.08</v>
      </c>
      <c r="E149" s="219">
        <v>7083.21</v>
      </c>
      <c r="F149" s="219"/>
      <c r="G149" s="219">
        <v>7945.08</v>
      </c>
      <c r="H149" s="260"/>
      <c r="I149" s="490">
        <v>7933.45</v>
      </c>
      <c r="J149" s="260">
        <v>8202.9</v>
      </c>
      <c r="K149" s="260"/>
      <c r="L149" s="260">
        <v>16406</v>
      </c>
      <c r="M149" s="169">
        <f t="shared" si="33"/>
        <v>8203.1</v>
      </c>
      <c r="N149" s="198" t="s">
        <v>541</v>
      </c>
      <c r="P149" s="219"/>
    </row>
    <row r="150" spans="1:16" s="197" customFormat="1" ht="12.95" customHeight="1">
      <c r="A150" s="196" t="s">
        <v>542</v>
      </c>
      <c r="B150" s="197" t="s">
        <v>543</v>
      </c>
      <c r="C150" s="219">
        <v>9488.02</v>
      </c>
      <c r="D150" s="219">
        <v>11575</v>
      </c>
      <c r="E150" s="398">
        <v>16678.71</v>
      </c>
      <c r="F150" s="398"/>
      <c r="G150" s="398">
        <v>17240.68</v>
      </c>
      <c r="H150" s="288"/>
      <c r="I150" s="491">
        <f>SUM(I147)*I612+1800</f>
        <v>19512</v>
      </c>
      <c r="J150" s="288">
        <f>SUM(J147)*J612+1800</f>
        <v>19512</v>
      </c>
      <c r="K150" s="288"/>
      <c r="L150" s="288">
        <f>SUM(L147)*L612+3600</f>
        <v>39024</v>
      </c>
      <c r="M150" s="169">
        <f t="shared" si="33"/>
        <v>19512</v>
      </c>
      <c r="N150" s="198" t="s">
        <v>544</v>
      </c>
      <c r="P150" s="219"/>
    </row>
    <row r="151" spans="1:16" s="197" customFormat="1" ht="12.95" customHeight="1">
      <c r="A151" s="196" t="s">
        <v>545</v>
      </c>
      <c r="B151" s="197" t="s">
        <v>546</v>
      </c>
      <c r="C151" s="219">
        <v>2546.0300000000002</v>
      </c>
      <c r="D151" s="219">
        <v>2201.66</v>
      </c>
      <c r="E151" s="398">
        <v>2832.51</v>
      </c>
      <c r="F151" s="398"/>
      <c r="G151" s="398">
        <v>2825.02</v>
      </c>
      <c r="H151" s="288"/>
      <c r="I151" s="491">
        <f>SUM(I147)*I613</f>
        <v>3060</v>
      </c>
      <c r="J151" s="288">
        <f>SUM(J147)*J613</f>
        <v>3060</v>
      </c>
      <c r="K151" s="288"/>
      <c r="L151" s="288">
        <f>SUM(L147)*L613</f>
        <v>6120</v>
      </c>
      <c r="M151" s="169">
        <f t="shared" si="33"/>
        <v>3060</v>
      </c>
      <c r="N151" s="198"/>
      <c r="P151" s="219"/>
    </row>
    <row r="152" spans="1:16" s="197" customFormat="1" ht="12.95" customHeight="1">
      <c r="A152" s="196" t="s">
        <v>1312</v>
      </c>
      <c r="B152" s="197" t="s">
        <v>538</v>
      </c>
      <c r="C152" s="219"/>
      <c r="D152" s="219"/>
      <c r="E152" s="219">
        <v>15.78</v>
      </c>
      <c r="F152" s="219"/>
      <c r="G152" s="219">
        <v>17.5</v>
      </c>
      <c r="H152" s="260"/>
      <c r="I152" s="490">
        <v>22</v>
      </c>
      <c r="J152" s="260">
        <v>22</v>
      </c>
      <c r="K152" s="260"/>
      <c r="L152" s="260">
        <v>22</v>
      </c>
      <c r="M152" s="169">
        <f t="shared" si="33"/>
        <v>0</v>
      </c>
      <c r="N152" s="198"/>
      <c r="P152" s="219"/>
    </row>
    <row r="153" spans="1:16" s="197" customFormat="1" ht="12.95" customHeight="1">
      <c r="A153" s="196" t="s">
        <v>547</v>
      </c>
      <c r="B153" s="197" t="s">
        <v>548</v>
      </c>
      <c r="C153" s="219">
        <v>5424.03</v>
      </c>
      <c r="D153" s="219"/>
      <c r="E153" s="219"/>
      <c r="F153" s="219"/>
      <c r="G153" s="219">
        <v>0</v>
      </c>
      <c r="H153" s="260"/>
      <c r="I153" s="490">
        <v>0</v>
      </c>
      <c r="J153" s="260">
        <v>0</v>
      </c>
      <c r="K153" s="260"/>
      <c r="L153" s="260">
        <v>0</v>
      </c>
      <c r="M153" s="169">
        <f t="shared" si="33"/>
        <v>0</v>
      </c>
      <c r="N153" s="198"/>
      <c r="P153" s="219"/>
    </row>
    <row r="154" spans="1:16" s="197" customFormat="1" ht="17.25" customHeight="1">
      <c r="A154" s="196" t="s">
        <v>562</v>
      </c>
      <c r="B154" s="197" t="s">
        <v>563</v>
      </c>
      <c r="C154" s="219">
        <v>27914.22</v>
      </c>
      <c r="D154" s="219">
        <v>37762.589999999997</v>
      </c>
      <c r="E154" s="219">
        <v>40351.61</v>
      </c>
      <c r="F154" s="219"/>
      <c r="G154" s="219">
        <v>39453.800000000003</v>
      </c>
      <c r="H154" s="260"/>
      <c r="I154" s="490">
        <v>39802</v>
      </c>
      <c r="J154" s="260">
        <v>39802</v>
      </c>
      <c r="K154" s="260"/>
      <c r="L154" s="260">
        <v>39802</v>
      </c>
      <c r="M154" s="169">
        <f t="shared" si="33"/>
        <v>0</v>
      </c>
      <c r="N154" s="217" t="s">
        <v>564</v>
      </c>
      <c r="P154" s="219"/>
    </row>
    <row r="155" spans="1:16" s="197" customFormat="1" ht="12.95" customHeight="1">
      <c r="A155" s="196" t="s">
        <v>551</v>
      </c>
      <c r="B155" s="197" t="s">
        <v>552</v>
      </c>
      <c r="C155" s="219">
        <v>536.29999999999995</v>
      </c>
      <c r="D155" s="219">
        <v>1081.55</v>
      </c>
      <c r="E155" s="219">
        <v>971.16</v>
      </c>
      <c r="F155" s="219"/>
      <c r="G155" s="219">
        <v>211.19</v>
      </c>
      <c r="H155" s="260"/>
      <c r="I155" s="490">
        <v>1200</v>
      </c>
      <c r="J155" s="260">
        <v>1200</v>
      </c>
      <c r="K155" s="260"/>
      <c r="L155" s="260">
        <v>1200</v>
      </c>
      <c r="M155" s="169">
        <f t="shared" si="33"/>
        <v>0</v>
      </c>
      <c r="N155" s="198"/>
      <c r="P155" s="219"/>
    </row>
    <row r="156" spans="1:16" s="197" customFormat="1" ht="12.95" customHeight="1">
      <c r="A156" s="196" t="s">
        <v>549</v>
      </c>
      <c r="B156" s="197" t="s">
        <v>550</v>
      </c>
      <c r="C156" s="219">
        <v>75</v>
      </c>
      <c r="D156" s="219">
        <v>180</v>
      </c>
      <c r="E156" s="219">
        <v>417.48</v>
      </c>
      <c r="F156" s="219"/>
      <c r="G156" s="219">
        <v>0</v>
      </c>
      <c r="H156" s="260"/>
      <c r="I156" s="490">
        <v>1000</v>
      </c>
      <c r="J156" s="260">
        <v>1000</v>
      </c>
      <c r="K156" s="260"/>
      <c r="L156" s="260">
        <v>1000</v>
      </c>
      <c r="M156" s="169">
        <f t="shared" si="33"/>
        <v>0</v>
      </c>
      <c r="N156" s="198"/>
      <c r="P156" s="219"/>
    </row>
    <row r="157" spans="1:16" s="197" customFormat="1" ht="12.95" customHeight="1">
      <c r="A157" s="196" t="s">
        <v>555</v>
      </c>
      <c r="B157" s="197" t="s">
        <v>556</v>
      </c>
      <c r="C157" s="197">
        <v>958.58</v>
      </c>
      <c r="D157" s="219">
        <v>-8.99</v>
      </c>
      <c r="E157" s="219"/>
      <c r="F157" s="219"/>
      <c r="G157" s="219">
        <v>0</v>
      </c>
      <c r="H157" s="260"/>
      <c r="I157" s="490">
        <v>0</v>
      </c>
      <c r="J157" s="260">
        <v>0</v>
      </c>
      <c r="K157" s="260"/>
      <c r="L157" s="260">
        <v>0</v>
      </c>
      <c r="M157" s="169">
        <f t="shared" si="33"/>
        <v>0</v>
      </c>
      <c r="N157" s="198"/>
      <c r="P157" s="219"/>
    </row>
    <row r="158" spans="1:16" s="197" customFormat="1" ht="12.95" customHeight="1">
      <c r="A158" s="196" t="s">
        <v>553</v>
      </c>
      <c r="B158" s="197" t="s">
        <v>554</v>
      </c>
      <c r="C158" s="219">
        <v>2851.67</v>
      </c>
      <c r="D158" s="219">
        <v>2516.5300000000002</v>
      </c>
      <c r="E158" s="219">
        <v>1554.85</v>
      </c>
      <c r="F158" s="219"/>
      <c r="G158" s="219">
        <v>1079.82</v>
      </c>
      <c r="H158" s="260"/>
      <c r="I158" s="490">
        <v>3000</v>
      </c>
      <c r="J158" s="260">
        <v>3000</v>
      </c>
      <c r="K158" s="260"/>
      <c r="L158" s="260">
        <v>3000</v>
      </c>
      <c r="M158" s="169">
        <f t="shared" si="33"/>
        <v>0</v>
      </c>
      <c r="N158" s="198"/>
      <c r="P158" s="219"/>
    </row>
    <row r="159" spans="1:16" s="197" customFormat="1" ht="12.95" customHeight="1">
      <c r="A159" s="196" t="s">
        <v>557</v>
      </c>
      <c r="B159" s="197" t="s">
        <v>558</v>
      </c>
      <c r="C159" s="219">
        <v>1469.23</v>
      </c>
      <c r="D159" s="219">
        <v>2292.3200000000002</v>
      </c>
      <c r="E159" s="219">
        <v>109.14</v>
      </c>
      <c r="F159" s="219"/>
      <c r="G159" s="219">
        <v>154.81</v>
      </c>
      <c r="H159" s="260"/>
      <c r="I159" s="490">
        <v>2500</v>
      </c>
      <c r="J159" s="260">
        <v>2500</v>
      </c>
      <c r="K159" s="260"/>
      <c r="L159" s="260">
        <v>2500</v>
      </c>
      <c r="M159" s="169">
        <f t="shared" si="33"/>
        <v>0</v>
      </c>
      <c r="N159" s="198"/>
      <c r="P159" s="219"/>
    </row>
    <row r="160" spans="1:16" s="197" customFormat="1" ht="12.95" customHeight="1">
      <c r="A160" s="196" t="s">
        <v>559</v>
      </c>
      <c r="B160" s="197" t="s">
        <v>533</v>
      </c>
      <c r="C160" s="219">
        <v>610</v>
      </c>
      <c r="D160" s="219">
        <v>1477.2</v>
      </c>
      <c r="E160" s="219">
        <v>1544.74</v>
      </c>
      <c r="F160" s="219"/>
      <c r="G160" s="219">
        <v>1129.74</v>
      </c>
      <c r="H160" s="260"/>
      <c r="I160" s="490">
        <v>1600</v>
      </c>
      <c r="J160" s="260">
        <v>1600</v>
      </c>
      <c r="K160" s="260"/>
      <c r="L160" s="260">
        <v>1600</v>
      </c>
      <c r="M160" s="169">
        <f t="shared" si="33"/>
        <v>0</v>
      </c>
      <c r="N160" s="198"/>
      <c r="P160" s="219"/>
    </row>
    <row r="161" spans="1:16" s="197" customFormat="1" ht="12.95" customHeight="1">
      <c r="A161" s="196" t="s">
        <v>560</v>
      </c>
      <c r="B161" s="197" t="s">
        <v>561</v>
      </c>
      <c r="C161" s="219">
        <v>1300.54</v>
      </c>
      <c r="D161" s="219">
        <v>1445.69</v>
      </c>
      <c r="E161" s="219">
        <v>100.9</v>
      </c>
      <c r="F161" s="219"/>
      <c r="G161" s="219">
        <v>101.64</v>
      </c>
      <c r="H161" s="260"/>
      <c r="I161" s="490">
        <v>1500</v>
      </c>
      <c r="J161" s="260">
        <v>1500</v>
      </c>
      <c r="K161" s="260"/>
      <c r="L161" s="260">
        <v>1500</v>
      </c>
      <c r="M161" s="169">
        <f t="shared" si="33"/>
        <v>0</v>
      </c>
      <c r="N161" s="198"/>
      <c r="P161" s="219"/>
    </row>
    <row r="162" spans="1:16" s="197" customFormat="1" ht="23.25" customHeight="1">
      <c r="A162" s="196"/>
      <c r="C162" s="219"/>
      <c r="D162" s="219"/>
      <c r="E162" s="219"/>
      <c r="F162" s="219"/>
      <c r="G162" s="219"/>
      <c r="H162" s="260"/>
      <c r="I162" s="490"/>
      <c r="J162" s="260"/>
      <c r="K162" s="260"/>
      <c r="L162" s="260"/>
      <c r="M162" s="260"/>
      <c r="N162" s="217"/>
      <c r="P162" s="219"/>
    </row>
    <row r="163" spans="1:16" s="167" customFormat="1">
      <c r="A163" s="176" t="s">
        <v>10</v>
      </c>
      <c r="B163" s="167" t="s">
        <v>11</v>
      </c>
      <c r="C163" s="174">
        <f t="shared" ref="C163:M163" si="34">SUM(C147:C161)</f>
        <v>86807.31</v>
      </c>
      <c r="D163" s="284">
        <f t="shared" si="34"/>
        <v>91454.61</v>
      </c>
      <c r="E163" s="221">
        <f t="shared" si="34"/>
        <v>111660.21</v>
      </c>
      <c r="F163" s="221"/>
      <c r="G163" s="221">
        <f>SUM(G147:G161)</f>
        <v>110159.24000000002</v>
      </c>
      <c r="H163" s="174"/>
      <c r="I163" s="494">
        <f t="shared" ref="I163" si="35">SUM(I147:I161)</f>
        <v>121129.45</v>
      </c>
      <c r="J163" s="174">
        <f t="shared" ref="J163:L163" si="36">SUM(J147:J161)</f>
        <v>121398.9</v>
      </c>
      <c r="K163" s="174"/>
      <c r="L163" s="174">
        <f t="shared" si="36"/>
        <v>192174</v>
      </c>
      <c r="M163" s="174">
        <f t="shared" si="34"/>
        <v>70775.100000000006</v>
      </c>
      <c r="P163" s="229"/>
    </row>
    <row r="164" spans="1:16" ht="49.5" customHeight="1" thickBot="1">
      <c r="A164" s="218" t="s">
        <v>26</v>
      </c>
      <c r="B164" s="166" t="s">
        <v>25</v>
      </c>
      <c r="C164" s="228">
        <f>Summary!D141</f>
        <v>0</v>
      </c>
      <c r="D164" s="282" t="str">
        <f>D7</f>
        <v>2018/2019 Actual</v>
      </c>
      <c r="E164" s="282" t="str">
        <f>E7</f>
        <v>2019/2020 Actual</v>
      </c>
      <c r="F164" s="282"/>
      <c r="G164" s="282" t="str">
        <f>G7</f>
        <v>2020/2021 Actual</v>
      </c>
      <c r="H164" s="287"/>
      <c r="I164" s="489" t="e">
        <f>I7</f>
        <v>#REF!</v>
      </c>
      <c r="J164" s="287" t="str">
        <f>J7</f>
        <v xml:space="preserve">2021-2022 Approved Budget </v>
      </c>
      <c r="K164" s="287"/>
      <c r="L164" s="287" t="str">
        <f>L7</f>
        <v xml:space="preserve">2021-2022 Amended Budget </v>
      </c>
      <c r="M164" s="508" t="s">
        <v>89</v>
      </c>
      <c r="N164" s="167" t="s">
        <v>110</v>
      </c>
    </row>
    <row r="165" spans="1:16">
      <c r="A165" s="170"/>
    </row>
    <row r="166" spans="1:16" s="197" customFormat="1" ht="15.75" customHeight="1">
      <c r="A166" s="196" t="s">
        <v>582</v>
      </c>
      <c r="B166" s="197" t="s">
        <v>583</v>
      </c>
      <c r="C166" s="219">
        <v>40799.980000000003</v>
      </c>
      <c r="D166" s="219">
        <v>16000.01</v>
      </c>
      <c r="E166" s="219">
        <v>19999.939999999999</v>
      </c>
      <c r="F166" s="219"/>
      <c r="G166" s="219">
        <v>19999.98</v>
      </c>
      <c r="H166" s="260"/>
      <c r="I166" s="490">
        <v>20000</v>
      </c>
      <c r="J166" s="260">
        <v>20000</v>
      </c>
      <c r="K166" s="260"/>
      <c r="L166" s="260">
        <v>30000</v>
      </c>
      <c r="M166" s="169">
        <f t="shared" ref="M166:M202" si="37">L166-J166</f>
        <v>10000</v>
      </c>
      <c r="N166" s="217" t="s">
        <v>584</v>
      </c>
      <c r="P166" s="182"/>
    </row>
    <row r="167" spans="1:16" s="197" customFormat="1" ht="12.95" customHeight="1">
      <c r="A167" s="196" t="s">
        <v>859</v>
      </c>
      <c r="B167" s="197" t="s">
        <v>968</v>
      </c>
      <c r="C167" s="219">
        <v>40309.987999999998</v>
      </c>
      <c r="D167" s="219">
        <v>16000.01</v>
      </c>
      <c r="E167" s="219">
        <v>19999.939999999999</v>
      </c>
      <c r="F167" s="219"/>
      <c r="G167" s="219">
        <v>19999.98</v>
      </c>
      <c r="H167" s="260"/>
      <c r="I167" s="490">
        <v>20000</v>
      </c>
      <c r="J167" s="260">
        <v>20000</v>
      </c>
      <c r="K167" s="260"/>
      <c r="L167" s="260">
        <v>30000</v>
      </c>
      <c r="M167" s="169">
        <f t="shared" si="37"/>
        <v>10000</v>
      </c>
      <c r="N167" s="198" t="s">
        <v>502</v>
      </c>
      <c r="P167" s="182"/>
    </row>
    <row r="168" spans="1:16" s="197" customFormat="1" ht="12.95" customHeight="1">
      <c r="A168" s="196" t="s">
        <v>597</v>
      </c>
      <c r="B168" s="197" t="s">
        <v>598</v>
      </c>
      <c r="C168" s="219">
        <v>11823.56</v>
      </c>
      <c r="D168" s="219">
        <v>11970.89</v>
      </c>
      <c r="E168" s="219">
        <v>13810.66</v>
      </c>
      <c r="F168" s="219"/>
      <c r="G168" s="219">
        <v>13312.33</v>
      </c>
      <c r="H168" s="260"/>
      <c r="I168" s="490">
        <f>642+13588</f>
        <v>14230</v>
      </c>
      <c r="J168" s="260">
        <f>13588</f>
        <v>13588</v>
      </c>
      <c r="K168" s="260"/>
      <c r="L168" s="260">
        <v>15000</v>
      </c>
      <c r="M168" s="169">
        <f t="shared" si="37"/>
        <v>1412</v>
      </c>
      <c r="N168" s="198"/>
      <c r="P168" s="182"/>
    </row>
    <row r="169" spans="1:16" s="197" customFormat="1" ht="12.95" customHeight="1">
      <c r="A169" s="196" t="s">
        <v>579</v>
      </c>
      <c r="B169" s="197" t="s">
        <v>580</v>
      </c>
      <c r="C169" s="219">
        <v>16254.3</v>
      </c>
      <c r="D169" s="219">
        <v>14508.73</v>
      </c>
      <c r="E169" s="219">
        <v>13810.66</v>
      </c>
      <c r="F169" s="219"/>
      <c r="G169" s="219">
        <v>13312.33</v>
      </c>
      <c r="H169" s="260"/>
      <c r="I169" s="490">
        <v>14230</v>
      </c>
      <c r="J169" s="260">
        <v>13588</v>
      </c>
      <c r="K169" s="260"/>
      <c r="L169" s="260">
        <v>15000</v>
      </c>
      <c r="M169" s="169">
        <f t="shared" si="37"/>
        <v>1412</v>
      </c>
      <c r="N169" s="198"/>
      <c r="P169" s="182"/>
    </row>
    <row r="170" spans="1:16" s="197" customFormat="1" ht="12.95" customHeight="1">
      <c r="A170" s="196" t="s">
        <v>599</v>
      </c>
      <c r="B170" s="197" t="s">
        <v>600</v>
      </c>
      <c r="C170" s="219">
        <v>147.37</v>
      </c>
      <c r="D170" s="219"/>
      <c r="E170" s="219">
        <v>1833.66</v>
      </c>
      <c r="F170" s="219"/>
      <c r="G170" s="219">
        <v>2193.19</v>
      </c>
      <c r="H170" s="260"/>
      <c r="I170" s="490">
        <v>2303.25</v>
      </c>
      <c r="J170" s="260">
        <v>2300</v>
      </c>
      <c r="K170" s="260"/>
      <c r="L170" s="260">
        <v>2300</v>
      </c>
      <c r="M170" s="169">
        <f t="shared" si="37"/>
        <v>0</v>
      </c>
      <c r="N170" s="198"/>
      <c r="P170" s="182"/>
    </row>
    <row r="171" spans="1:16" s="197" customFormat="1" ht="12.95" customHeight="1">
      <c r="A171" s="196" t="s">
        <v>992</v>
      </c>
      <c r="B171" s="197" t="s">
        <v>993</v>
      </c>
      <c r="C171" s="219"/>
      <c r="D171" s="219"/>
      <c r="E171" s="219">
        <v>219.24</v>
      </c>
      <c r="F171" s="219"/>
      <c r="G171" s="219">
        <v>97.54</v>
      </c>
      <c r="H171" s="260"/>
      <c r="I171" s="490">
        <v>300</v>
      </c>
      <c r="J171" s="260">
        <v>300</v>
      </c>
      <c r="K171" s="260"/>
      <c r="L171" s="260">
        <v>300</v>
      </c>
      <c r="M171" s="169">
        <f t="shared" si="37"/>
        <v>0</v>
      </c>
      <c r="N171" s="198"/>
      <c r="P171" s="182"/>
    </row>
    <row r="172" spans="1:16" s="197" customFormat="1" ht="12.95" customHeight="1">
      <c r="A172" s="196" t="s">
        <v>991</v>
      </c>
      <c r="B172" s="197" t="s">
        <v>994</v>
      </c>
      <c r="C172" s="219"/>
      <c r="D172" s="219"/>
      <c r="E172" s="219">
        <v>219.24</v>
      </c>
      <c r="F172" s="219"/>
      <c r="G172" s="219">
        <v>97.53</v>
      </c>
      <c r="H172" s="260"/>
      <c r="I172" s="490">
        <v>300</v>
      </c>
      <c r="J172" s="260">
        <v>300</v>
      </c>
      <c r="K172" s="260"/>
      <c r="L172" s="260">
        <v>300</v>
      </c>
      <c r="M172" s="169">
        <f t="shared" si="37"/>
        <v>0</v>
      </c>
      <c r="N172" s="198"/>
      <c r="P172" s="182"/>
    </row>
    <row r="173" spans="1:16" s="197" customFormat="1" ht="15.75" customHeight="1">
      <c r="A173" s="196" t="s">
        <v>892</v>
      </c>
      <c r="B173" s="197" t="s">
        <v>965</v>
      </c>
      <c r="C173" s="219"/>
      <c r="D173" s="219">
        <v>3062.04</v>
      </c>
      <c r="E173" s="219">
        <v>3541.6</v>
      </c>
      <c r="F173" s="219"/>
      <c r="G173" s="219">
        <v>3972.57</v>
      </c>
      <c r="H173" s="260"/>
      <c r="I173" s="490">
        <v>3966.73</v>
      </c>
      <c r="J173" s="260">
        <v>4101.45</v>
      </c>
      <c r="K173" s="260"/>
      <c r="L173" s="260">
        <v>1092</v>
      </c>
      <c r="M173" s="169">
        <f t="shared" si="37"/>
        <v>-3009.45</v>
      </c>
      <c r="N173" s="217"/>
      <c r="P173" s="182"/>
    </row>
    <row r="174" spans="1:16" s="197" customFormat="1" ht="12.95" customHeight="1">
      <c r="A174" s="196" t="s">
        <v>860</v>
      </c>
      <c r="B174" s="197" t="s">
        <v>414</v>
      </c>
      <c r="C174" s="219">
        <v>0</v>
      </c>
      <c r="D174" s="219">
        <v>3062.04</v>
      </c>
      <c r="E174" s="219">
        <v>3541.6</v>
      </c>
      <c r="F174" s="219"/>
      <c r="G174" s="219">
        <v>3972.57</v>
      </c>
      <c r="H174" s="260"/>
      <c r="I174" s="490">
        <v>3966.73</v>
      </c>
      <c r="J174" s="260">
        <v>4101.45</v>
      </c>
      <c r="K174" s="260"/>
      <c r="L174" s="260">
        <v>1092</v>
      </c>
      <c r="M174" s="169">
        <f t="shared" si="37"/>
        <v>-3009.45</v>
      </c>
      <c r="N174" s="198"/>
      <c r="P174" s="182"/>
    </row>
    <row r="175" spans="1:16" s="197" customFormat="1" ht="12.95" customHeight="1">
      <c r="A175" s="196" t="s">
        <v>1042</v>
      </c>
      <c r="B175" s="197" t="s">
        <v>857</v>
      </c>
      <c r="C175" s="219">
        <v>22300.22</v>
      </c>
      <c r="D175" s="219">
        <v>11618</v>
      </c>
      <c r="E175" s="398">
        <v>15033.88</v>
      </c>
      <c r="F175" s="398"/>
      <c r="G175" s="398">
        <v>15269.15</v>
      </c>
      <c r="H175" s="288"/>
      <c r="I175" s="491">
        <f>(I166+I168+I170+I171)*I612+1225</f>
        <v>17534.7631</v>
      </c>
      <c r="J175" s="288">
        <f>(J166+J168+J170+J171)*J612+1225</f>
        <v>17249.046399999999</v>
      </c>
      <c r="K175" s="288"/>
      <c r="L175" s="288">
        <f>(L166+L168+L170+L171)*L612+2000</f>
        <v>23077.280000000002</v>
      </c>
      <c r="M175" s="169">
        <f t="shared" si="37"/>
        <v>5828.2336000000032</v>
      </c>
      <c r="N175" s="198"/>
      <c r="P175" s="182"/>
    </row>
    <row r="176" spans="1:16" s="197" customFormat="1" ht="12.95" customHeight="1">
      <c r="A176" s="196" t="s">
        <v>565</v>
      </c>
      <c r="B176" s="197" t="s">
        <v>416</v>
      </c>
      <c r="C176" s="219">
        <v>23337.91</v>
      </c>
      <c r="D176" s="219">
        <v>11421</v>
      </c>
      <c r="E176" s="398">
        <v>14296.62</v>
      </c>
      <c r="F176" s="398"/>
      <c r="G176" s="398">
        <v>14330.44</v>
      </c>
      <c r="H176" s="288"/>
      <c r="I176" s="491">
        <f>(I167+I169+I172)*I612+1125</f>
        <v>16414.884000000002</v>
      </c>
      <c r="J176" s="288">
        <f>(J167+J169+J172)*J612+1125</f>
        <v>16130.606400000001</v>
      </c>
      <c r="K176" s="288"/>
      <c r="L176" s="288">
        <f>(L167+L169+L172)*L612+2000</f>
        <v>22058.84</v>
      </c>
      <c r="M176" s="169">
        <f t="shared" si="37"/>
        <v>5928.2335999999996</v>
      </c>
      <c r="N176" s="198"/>
      <c r="P176" s="182"/>
    </row>
    <row r="177" spans="1:16" s="197" customFormat="1" ht="12.95" customHeight="1">
      <c r="A177" s="196" t="s">
        <v>585</v>
      </c>
      <c r="B177" s="197" t="s">
        <v>874</v>
      </c>
      <c r="C177" s="219">
        <v>3931.78</v>
      </c>
      <c r="D177" s="219">
        <v>2033.52</v>
      </c>
      <c r="E177" s="398">
        <v>2625.92</v>
      </c>
      <c r="F177" s="398"/>
      <c r="G177" s="398">
        <v>2601.34</v>
      </c>
      <c r="H177" s="288"/>
      <c r="I177" s="491">
        <f>(I166+I168+I170)*I613</f>
        <v>2794.7936249999998</v>
      </c>
      <c r="J177" s="288">
        <f>(J166+J168+J170)*J613</f>
        <v>2745.4319999999998</v>
      </c>
      <c r="K177" s="288"/>
      <c r="L177" s="288">
        <f>(L166+L168+L170)*L613</f>
        <v>3618.45</v>
      </c>
      <c r="M177" s="169">
        <f t="shared" si="37"/>
        <v>873.01800000000003</v>
      </c>
      <c r="N177" s="198"/>
      <c r="P177" s="182"/>
    </row>
    <row r="178" spans="1:16" s="197" customFormat="1" ht="12.95" customHeight="1">
      <c r="A178" s="196" t="s">
        <v>566</v>
      </c>
      <c r="B178" s="197" t="s">
        <v>418</v>
      </c>
      <c r="C178" s="219">
        <v>4225.46</v>
      </c>
      <c r="D178" s="219">
        <v>2233.36</v>
      </c>
      <c r="E178" s="398">
        <v>2489.48</v>
      </c>
      <c r="F178" s="398"/>
      <c r="G178" s="398">
        <v>2438.58</v>
      </c>
      <c r="H178" s="288"/>
      <c r="I178" s="491">
        <f>(I167+I169)*I613</f>
        <v>2618.5949999999998</v>
      </c>
      <c r="J178" s="288">
        <f>(J167+J169)*J613</f>
        <v>2569.482</v>
      </c>
      <c r="K178" s="288"/>
      <c r="L178" s="288">
        <f>(L167+L169)*L613</f>
        <v>3442.5</v>
      </c>
      <c r="M178" s="169">
        <f t="shared" si="37"/>
        <v>873.01800000000003</v>
      </c>
      <c r="N178" s="198"/>
      <c r="P178" s="182"/>
    </row>
    <row r="179" spans="1:16" s="197" customFormat="1" ht="12.95" customHeight="1">
      <c r="A179" s="196" t="s">
        <v>902</v>
      </c>
      <c r="B179" s="197" t="s">
        <v>427</v>
      </c>
      <c r="C179" s="219"/>
      <c r="D179" s="219"/>
      <c r="E179" s="219">
        <v>37.99</v>
      </c>
      <c r="F179" s="219"/>
      <c r="G179" s="219">
        <v>62.03</v>
      </c>
      <c r="H179" s="260"/>
      <c r="I179" s="490">
        <v>70</v>
      </c>
      <c r="J179" s="260">
        <v>70</v>
      </c>
      <c r="K179" s="260"/>
      <c r="L179" s="260">
        <v>70</v>
      </c>
      <c r="M179" s="169">
        <f t="shared" si="37"/>
        <v>0</v>
      </c>
      <c r="N179" s="198"/>
      <c r="P179" s="182"/>
    </row>
    <row r="180" spans="1:16" s="197" customFormat="1" ht="12.95" customHeight="1">
      <c r="A180" s="196" t="s">
        <v>586</v>
      </c>
      <c r="B180" s="197" t="s">
        <v>966</v>
      </c>
      <c r="C180" s="219">
        <v>9650</v>
      </c>
      <c r="D180" s="219">
        <v>7050</v>
      </c>
      <c r="E180" s="219"/>
      <c r="F180" s="219"/>
      <c r="G180" s="219">
        <v>3695.74</v>
      </c>
      <c r="H180" s="260"/>
      <c r="I180" s="490">
        <v>11000</v>
      </c>
      <c r="J180" s="260">
        <v>11000</v>
      </c>
      <c r="K180" s="260"/>
      <c r="L180" s="260">
        <v>0</v>
      </c>
      <c r="M180" s="169">
        <f>L180-J180</f>
        <v>-11000</v>
      </c>
      <c r="N180" s="198"/>
      <c r="P180" s="182"/>
    </row>
    <row r="181" spans="1:16" s="197" customFormat="1" ht="12.95" customHeight="1">
      <c r="A181" s="196" t="s">
        <v>567</v>
      </c>
      <c r="B181" s="197" t="s">
        <v>568</v>
      </c>
      <c r="C181" s="219">
        <v>9650</v>
      </c>
      <c r="D181" s="219">
        <v>7050</v>
      </c>
      <c r="E181" s="219"/>
      <c r="F181" s="219"/>
      <c r="G181" s="219">
        <v>11843.25</v>
      </c>
      <c r="H181" s="260"/>
      <c r="I181" s="490">
        <v>13000</v>
      </c>
      <c r="J181" s="260">
        <v>13000</v>
      </c>
      <c r="K181" s="260"/>
      <c r="L181" s="260">
        <v>0</v>
      </c>
      <c r="M181" s="169">
        <f t="shared" si="37"/>
        <v>-13000</v>
      </c>
      <c r="N181" s="198"/>
      <c r="P181" s="182"/>
    </row>
    <row r="182" spans="1:16" s="197" customFormat="1" ht="12.95" customHeight="1">
      <c r="A182" s="196" t="s">
        <v>1493</v>
      </c>
      <c r="B182" s="197" t="s">
        <v>1432</v>
      </c>
      <c r="C182" s="219"/>
      <c r="D182" s="219"/>
      <c r="E182" s="219"/>
      <c r="F182" s="219"/>
      <c r="G182" s="219"/>
      <c r="H182" s="260"/>
      <c r="I182" s="490"/>
      <c r="J182" s="260"/>
      <c r="K182" s="260"/>
      <c r="L182" s="260">
        <v>3450</v>
      </c>
      <c r="M182" s="169">
        <f t="shared" ref="M182:M186" si="38">L182-J182</f>
        <v>3450</v>
      </c>
      <c r="N182" s="198"/>
      <c r="P182" s="182"/>
    </row>
    <row r="183" spans="1:16" s="197" customFormat="1" ht="12.95" customHeight="1">
      <c r="A183" s="196" t="s">
        <v>1450</v>
      </c>
      <c r="B183" s="197" t="s">
        <v>1451</v>
      </c>
      <c r="C183" s="219"/>
      <c r="D183" s="219"/>
      <c r="E183" s="219"/>
      <c r="F183" s="219"/>
      <c r="G183" s="219"/>
      <c r="H183" s="260"/>
      <c r="I183" s="490"/>
      <c r="J183" s="260"/>
      <c r="K183" s="260"/>
      <c r="L183" s="260">
        <v>3450</v>
      </c>
      <c r="M183" s="169">
        <f t="shared" si="38"/>
        <v>3450</v>
      </c>
      <c r="N183" s="198"/>
      <c r="P183" s="182"/>
    </row>
    <row r="184" spans="1:16" s="197" customFormat="1" ht="12.95" customHeight="1">
      <c r="A184" s="196" t="s">
        <v>576</v>
      </c>
      <c r="B184" s="197" t="s">
        <v>967</v>
      </c>
      <c r="C184" s="219">
        <v>3000</v>
      </c>
      <c r="D184" s="219">
        <v>1500</v>
      </c>
      <c r="E184" s="219">
        <v>1500</v>
      </c>
      <c r="F184" s="219"/>
      <c r="G184" s="219">
        <v>0</v>
      </c>
      <c r="H184" s="260"/>
      <c r="I184" s="490">
        <v>1500</v>
      </c>
      <c r="J184" s="260">
        <v>1500</v>
      </c>
      <c r="K184" s="260"/>
      <c r="L184" s="260">
        <v>1500</v>
      </c>
      <c r="M184" s="169">
        <f t="shared" si="38"/>
        <v>0</v>
      </c>
      <c r="N184" s="198"/>
      <c r="P184" s="182"/>
    </row>
    <row r="185" spans="1:16" s="197" customFormat="1" ht="12.95" customHeight="1">
      <c r="A185" s="196" t="s">
        <v>879</v>
      </c>
      <c r="B185" s="197" t="s">
        <v>880</v>
      </c>
      <c r="C185" s="219"/>
      <c r="D185" s="219">
        <v>1099.4000000000001</v>
      </c>
      <c r="E185" s="219"/>
      <c r="F185" s="219"/>
      <c r="G185" s="219">
        <v>0</v>
      </c>
      <c r="H185" s="260"/>
      <c r="I185" s="490">
        <v>0</v>
      </c>
      <c r="J185" s="260">
        <v>0</v>
      </c>
      <c r="K185" s="260"/>
      <c r="L185" s="260">
        <v>0</v>
      </c>
      <c r="M185" s="169">
        <f t="shared" si="38"/>
        <v>0</v>
      </c>
      <c r="N185" s="198"/>
      <c r="P185" s="182"/>
    </row>
    <row r="186" spans="1:16" s="197" customFormat="1" ht="12.95" customHeight="1">
      <c r="A186" s="196" t="s">
        <v>862</v>
      </c>
      <c r="B186" s="197" t="s">
        <v>552</v>
      </c>
      <c r="C186" s="219">
        <v>85.72</v>
      </c>
      <c r="D186" s="219">
        <v>14.04</v>
      </c>
      <c r="E186" s="219"/>
      <c r="F186" s="219"/>
      <c r="G186" s="219">
        <v>0</v>
      </c>
      <c r="H186" s="260"/>
      <c r="I186" s="490">
        <v>15</v>
      </c>
      <c r="J186" s="260">
        <v>15</v>
      </c>
      <c r="K186" s="260"/>
      <c r="L186" s="260">
        <v>300</v>
      </c>
      <c r="M186" s="169">
        <f t="shared" si="38"/>
        <v>285</v>
      </c>
      <c r="N186" s="198"/>
      <c r="P186" s="182"/>
    </row>
    <row r="187" spans="1:16" s="197" customFormat="1" ht="12.95" customHeight="1">
      <c r="A187" s="196" t="s">
        <v>587</v>
      </c>
      <c r="B187" s="197" t="s">
        <v>588</v>
      </c>
      <c r="C187" s="219"/>
      <c r="D187" s="219">
        <v>391.37</v>
      </c>
      <c r="E187" s="219">
        <v>208.75</v>
      </c>
      <c r="F187" s="219"/>
      <c r="G187" s="219">
        <v>126.31</v>
      </c>
      <c r="H187" s="260"/>
      <c r="I187" s="490">
        <v>350</v>
      </c>
      <c r="J187" s="260">
        <v>350</v>
      </c>
      <c r="K187" s="260"/>
      <c r="L187" s="260">
        <v>1200</v>
      </c>
      <c r="M187" s="169">
        <f t="shared" si="37"/>
        <v>850</v>
      </c>
      <c r="N187" s="198"/>
      <c r="P187" s="182"/>
    </row>
    <row r="188" spans="1:16" s="197" customFormat="1" ht="12.95" customHeight="1">
      <c r="A188" s="196" t="s">
        <v>569</v>
      </c>
      <c r="B188" s="197" t="s">
        <v>420</v>
      </c>
      <c r="C188" s="219">
        <v>435.12</v>
      </c>
      <c r="D188" s="219">
        <v>193.2</v>
      </c>
      <c r="E188" s="219">
        <v>208.75</v>
      </c>
      <c r="F188" s="219"/>
      <c r="G188" s="219">
        <v>126.31</v>
      </c>
      <c r="H188" s="260"/>
      <c r="I188" s="490">
        <v>350</v>
      </c>
      <c r="J188" s="260">
        <v>350</v>
      </c>
      <c r="K188" s="260"/>
      <c r="L188" s="260">
        <v>1200</v>
      </c>
      <c r="M188" s="169">
        <f t="shared" si="37"/>
        <v>850</v>
      </c>
      <c r="N188" s="198"/>
      <c r="P188" s="182"/>
    </row>
    <row r="189" spans="1:16" s="197" customFormat="1" ht="12.95" customHeight="1">
      <c r="A189" s="196" t="s">
        <v>589</v>
      </c>
      <c r="B189" s="197" t="s">
        <v>590</v>
      </c>
      <c r="C189" s="219">
        <v>10215.870000000001</v>
      </c>
      <c r="D189" s="219">
        <v>5527.76</v>
      </c>
      <c r="E189" s="219">
        <v>5994.48</v>
      </c>
      <c r="F189" s="219"/>
      <c r="G189" s="219">
        <v>5418.96</v>
      </c>
      <c r="H189" s="260"/>
      <c r="I189" s="490">
        <v>7500</v>
      </c>
      <c r="J189" s="260">
        <v>7500</v>
      </c>
      <c r="K189" s="260"/>
      <c r="L189" s="260">
        <v>4500</v>
      </c>
      <c r="M189" s="169">
        <f t="shared" si="37"/>
        <v>-3000</v>
      </c>
      <c r="N189" s="198"/>
      <c r="P189" s="182"/>
    </row>
    <row r="190" spans="1:16" s="197" customFormat="1" ht="12.95" customHeight="1">
      <c r="A190" s="196" t="s">
        <v>570</v>
      </c>
      <c r="B190" s="197" t="s">
        <v>571</v>
      </c>
      <c r="C190" s="219">
        <v>2394.29</v>
      </c>
      <c r="D190" s="219">
        <v>1633.97</v>
      </c>
      <c r="E190" s="219">
        <v>1151.79</v>
      </c>
      <c r="F190" s="219"/>
      <c r="G190" s="219">
        <v>1140.8800000000001</v>
      </c>
      <c r="H190" s="260"/>
      <c r="I190" s="490">
        <v>1500</v>
      </c>
      <c r="J190" s="260">
        <v>1500</v>
      </c>
      <c r="K190" s="260"/>
      <c r="L190" s="260">
        <v>4500</v>
      </c>
      <c r="M190" s="169">
        <f t="shared" si="37"/>
        <v>3000</v>
      </c>
      <c r="N190" s="198"/>
      <c r="P190" s="182"/>
    </row>
    <row r="191" spans="1:16" s="197" customFormat="1" ht="12.95" customHeight="1">
      <c r="A191" s="196" t="s">
        <v>593</v>
      </c>
      <c r="B191" s="197" t="s">
        <v>594</v>
      </c>
      <c r="C191" s="219">
        <v>1224.43</v>
      </c>
      <c r="D191" s="219">
        <v>1111.97</v>
      </c>
      <c r="E191" s="219">
        <v>260.44</v>
      </c>
      <c r="F191" s="219"/>
      <c r="G191" s="219">
        <v>1102.69</v>
      </c>
      <c r="H191" s="260"/>
      <c r="I191" s="490">
        <v>1500</v>
      </c>
      <c r="J191" s="260">
        <v>1500</v>
      </c>
      <c r="K191" s="260"/>
      <c r="L191" s="260">
        <v>1000</v>
      </c>
      <c r="M191" s="169">
        <f t="shared" si="37"/>
        <v>-500</v>
      </c>
      <c r="N191" s="198"/>
      <c r="P191" s="182"/>
    </row>
    <row r="192" spans="1:16" s="197" customFormat="1" ht="12.95" customHeight="1">
      <c r="A192" s="196" t="s">
        <v>574</v>
      </c>
      <c r="B192" s="197" t="s">
        <v>575</v>
      </c>
      <c r="C192" s="219">
        <v>1345.5</v>
      </c>
      <c r="D192" s="219">
        <v>1177.77</v>
      </c>
      <c r="E192" s="219">
        <v>80.459999999999994</v>
      </c>
      <c r="F192" s="219"/>
      <c r="G192" s="219">
        <v>808.48</v>
      </c>
      <c r="H192" s="260"/>
      <c r="I192" s="490">
        <v>1500</v>
      </c>
      <c r="J192" s="260">
        <v>1500</v>
      </c>
      <c r="K192" s="260"/>
      <c r="L192" s="260">
        <v>1000</v>
      </c>
      <c r="M192" s="169">
        <f t="shared" si="37"/>
        <v>-500</v>
      </c>
      <c r="N192" s="198"/>
      <c r="P192" s="182"/>
    </row>
    <row r="193" spans="1:16" s="197" customFormat="1" ht="12.95" customHeight="1">
      <c r="A193" s="196" t="s">
        <v>591</v>
      </c>
      <c r="B193" s="197" t="s">
        <v>592</v>
      </c>
      <c r="C193" s="219">
        <v>876.84</v>
      </c>
      <c r="D193" s="219">
        <v>767.66</v>
      </c>
      <c r="E193" s="219">
        <v>62.96</v>
      </c>
      <c r="F193" s="219"/>
      <c r="G193" s="219">
        <v>225.31</v>
      </c>
      <c r="H193" s="260"/>
      <c r="I193" s="490">
        <v>1500</v>
      </c>
      <c r="J193" s="260">
        <v>1500</v>
      </c>
      <c r="K193" s="260"/>
      <c r="L193" s="260">
        <v>1500</v>
      </c>
      <c r="M193" s="169">
        <f t="shared" si="37"/>
        <v>0</v>
      </c>
      <c r="N193" s="198"/>
      <c r="P193" s="182"/>
    </row>
    <row r="194" spans="1:16" s="197" customFormat="1" ht="12.95" customHeight="1">
      <c r="A194" s="196" t="s">
        <v>572</v>
      </c>
      <c r="B194" s="197" t="s">
        <v>573</v>
      </c>
      <c r="C194" s="219">
        <v>859.63</v>
      </c>
      <c r="D194" s="219">
        <v>775.97</v>
      </c>
      <c r="E194" s="219">
        <v>92.97</v>
      </c>
      <c r="F194" s="219"/>
      <c r="G194" s="219">
        <v>361.3</v>
      </c>
      <c r="H194" s="260"/>
      <c r="I194" s="490">
        <v>1500</v>
      </c>
      <c r="J194" s="260">
        <v>1500</v>
      </c>
      <c r="K194" s="260"/>
      <c r="L194" s="260">
        <v>1500</v>
      </c>
      <c r="M194" s="169">
        <f t="shared" si="37"/>
        <v>0</v>
      </c>
      <c r="N194" s="198"/>
      <c r="P194" s="182"/>
    </row>
    <row r="195" spans="1:16" s="197" customFormat="1" ht="12.95" customHeight="1">
      <c r="A195" s="196" t="s">
        <v>950</v>
      </c>
      <c r="B195" s="197" t="s">
        <v>952</v>
      </c>
      <c r="C195" s="219"/>
      <c r="D195" s="219"/>
      <c r="E195" s="219">
        <v>418.45</v>
      </c>
      <c r="F195" s="219"/>
      <c r="G195" s="219">
        <v>336.26</v>
      </c>
      <c r="H195" s="260"/>
      <c r="I195" s="490">
        <v>600</v>
      </c>
      <c r="J195" s="260">
        <v>600</v>
      </c>
      <c r="K195" s="260"/>
      <c r="L195" s="260">
        <v>600</v>
      </c>
      <c r="M195" s="169">
        <f t="shared" si="37"/>
        <v>0</v>
      </c>
      <c r="N195" s="198"/>
      <c r="P195" s="182"/>
    </row>
    <row r="196" spans="1:16" s="197" customFormat="1" ht="12.95" customHeight="1">
      <c r="A196" s="196" t="s">
        <v>951</v>
      </c>
      <c r="B196" s="197" t="s">
        <v>953</v>
      </c>
      <c r="C196" s="219"/>
      <c r="D196" s="219"/>
      <c r="E196" s="219">
        <v>418.45</v>
      </c>
      <c r="F196" s="219"/>
      <c r="G196" s="219">
        <v>336.26</v>
      </c>
      <c r="H196" s="260"/>
      <c r="I196" s="490">
        <v>600</v>
      </c>
      <c r="J196" s="260">
        <v>600</v>
      </c>
      <c r="K196" s="260"/>
      <c r="L196" s="260">
        <v>600</v>
      </c>
      <c r="M196" s="169">
        <f t="shared" si="37"/>
        <v>0</v>
      </c>
      <c r="N196" s="198"/>
      <c r="P196" s="182"/>
    </row>
    <row r="197" spans="1:16" s="197" customFormat="1" ht="12.95" customHeight="1">
      <c r="A197" s="196" t="s">
        <v>1433</v>
      </c>
      <c r="B197" s="197" t="s">
        <v>1435</v>
      </c>
      <c r="C197" s="219"/>
      <c r="D197" s="219"/>
      <c r="E197" s="219"/>
      <c r="F197" s="219"/>
      <c r="G197" s="219"/>
      <c r="H197" s="260"/>
      <c r="I197" s="490"/>
      <c r="J197" s="260"/>
      <c r="K197" s="260"/>
      <c r="L197" s="260">
        <v>300</v>
      </c>
      <c r="M197" s="169">
        <f t="shared" si="37"/>
        <v>300</v>
      </c>
      <c r="N197" s="198"/>
      <c r="P197" s="182"/>
    </row>
    <row r="198" spans="1:16" s="197" customFormat="1" ht="12.95" customHeight="1">
      <c r="A198" s="196" t="s">
        <v>1434</v>
      </c>
      <c r="B198" s="197" t="s">
        <v>1436</v>
      </c>
      <c r="C198" s="219"/>
      <c r="D198" s="219"/>
      <c r="E198" s="219"/>
      <c r="F198" s="219"/>
      <c r="G198" s="219"/>
      <c r="H198" s="260"/>
      <c r="I198" s="490"/>
      <c r="J198" s="260"/>
      <c r="K198" s="260"/>
      <c r="L198" s="260">
        <v>300</v>
      </c>
      <c r="M198" s="169">
        <f t="shared" si="37"/>
        <v>300</v>
      </c>
      <c r="N198" s="198"/>
      <c r="P198" s="182"/>
    </row>
    <row r="199" spans="1:16" s="197" customFormat="1" ht="12.95" customHeight="1">
      <c r="A199" s="196" t="s">
        <v>595</v>
      </c>
      <c r="B199" s="197" t="s">
        <v>596</v>
      </c>
      <c r="C199" s="219">
        <v>654.33000000000004</v>
      </c>
      <c r="D199" s="219">
        <v>857.65</v>
      </c>
      <c r="E199" s="219">
        <v>495.24</v>
      </c>
      <c r="F199" s="219"/>
      <c r="G199" s="219">
        <v>152.25</v>
      </c>
      <c r="H199" s="260"/>
      <c r="I199" s="490">
        <v>650</v>
      </c>
      <c r="J199" s="260">
        <v>650</v>
      </c>
      <c r="K199" s="260"/>
      <c r="L199" s="260">
        <v>150</v>
      </c>
      <c r="M199" s="169">
        <f t="shared" si="37"/>
        <v>-500</v>
      </c>
      <c r="N199" s="198"/>
      <c r="P199" s="182"/>
    </row>
    <row r="200" spans="1:16" s="197" customFormat="1" ht="12.95" customHeight="1">
      <c r="A200" s="196" t="s">
        <v>577</v>
      </c>
      <c r="B200" s="197" t="s">
        <v>578</v>
      </c>
      <c r="C200" s="219">
        <v>907.06</v>
      </c>
      <c r="D200" s="219">
        <v>74.47</v>
      </c>
      <c r="E200" s="219">
        <v>149.15</v>
      </c>
      <c r="F200" s="219"/>
      <c r="G200" s="219">
        <v>652.89</v>
      </c>
      <c r="H200" s="260"/>
      <c r="I200" s="490">
        <v>650</v>
      </c>
      <c r="J200" s="260">
        <v>650</v>
      </c>
      <c r="K200" s="260"/>
      <c r="L200" s="260">
        <v>150</v>
      </c>
      <c r="M200" s="169">
        <f t="shared" si="37"/>
        <v>-500</v>
      </c>
      <c r="N200" s="198"/>
      <c r="P200" s="182"/>
    </row>
    <row r="201" spans="1:16" s="197" customFormat="1" ht="12.95" customHeight="1">
      <c r="A201" s="196" t="s">
        <v>581</v>
      </c>
      <c r="B201" s="197" t="s">
        <v>863</v>
      </c>
      <c r="C201" s="219">
        <v>402.55</v>
      </c>
      <c r="D201" s="219">
        <v>1588.91</v>
      </c>
      <c r="E201" s="219">
        <v>606.91999999999996</v>
      </c>
      <c r="F201" s="219"/>
      <c r="G201" s="219">
        <v>762.35</v>
      </c>
      <c r="H201" s="260"/>
      <c r="I201" s="490">
        <v>800</v>
      </c>
      <c r="J201" s="260">
        <v>800</v>
      </c>
      <c r="K201" s="260"/>
      <c r="L201" s="260">
        <v>800</v>
      </c>
      <c r="M201" s="169">
        <f t="shared" si="37"/>
        <v>0</v>
      </c>
      <c r="N201" s="198"/>
      <c r="P201" s="182"/>
    </row>
    <row r="202" spans="1:16" s="197" customFormat="1" ht="12.95" customHeight="1">
      <c r="A202" s="196" t="s">
        <v>954</v>
      </c>
      <c r="B202" s="197" t="s">
        <v>955</v>
      </c>
      <c r="C202" s="219"/>
      <c r="D202" s="219"/>
      <c r="E202" s="219">
        <v>2508</v>
      </c>
      <c r="F202" s="219"/>
      <c r="G202" s="219">
        <v>1821</v>
      </c>
      <c r="H202" s="260"/>
      <c r="I202" s="490">
        <f>1610+900</f>
        <v>2510</v>
      </c>
      <c r="J202" s="260">
        <f>1610+900</f>
        <v>2510</v>
      </c>
      <c r="K202" s="260"/>
      <c r="L202" s="260">
        <v>1887</v>
      </c>
      <c r="M202" s="169">
        <f t="shared" si="37"/>
        <v>-623</v>
      </c>
      <c r="N202" s="198"/>
      <c r="P202" s="182"/>
    </row>
    <row r="203" spans="1:16">
      <c r="A203" s="170"/>
    </row>
    <row r="204" spans="1:16" s="167" customFormat="1">
      <c r="A204" s="176">
        <v>241</v>
      </c>
      <c r="B204" s="167" t="s">
        <v>12</v>
      </c>
      <c r="C204" s="174">
        <f>SUM(C166:C203)</f>
        <v>204831.90799999997</v>
      </c>
      <c r="D204" s="221">
        <f>SUM(D166:D203)</f>
        <v>122723.73999999999</v>
      </c>
      <c r="E204" s="221">
        <f>SUM(E166:E203)</f>
        <v>125617.24000000002</v>
      </c>
      <c r="F204" s="221"/>
      <c r="G204" s="221">
        <f>SUM(G166:G203)</f>
        <v>140569.80000000005</v>
      </c>
      <c r="H204" s="174"/>
      <c r="I204" s="494">
        <f>SUM(I166:I203)</f>
        <v>165754.74572499999</v>
      </c>
      <c r="J204" s="174">
        <f>SUM(J166:J203)</f>
        <v>164068.46679999999</v>
      </c>
      <c r="K204" s="174"/>
      <c r="L204" s="174">
        <f>SUM(L166:L203)</f>
        <v>177238.07</v>
      </c>
      <c r="M204" s="174">
        <f>SUM(M166:M203)</f>
        <v>13169.603200000001</v>
      </c>
      <c r="N204" s="174">
        <f>SUM(N167:N203)</f>
        <v>0</v>
      </c>
      <c r="P204" s="229"/>
    </row>
    <row r="205" spans="1:16" s="167" customFormat="1">
      <c r="A205" s="176"/>
      <c r="C205" s="229"/>
      <c r="D205" s="229"/>
      <c r="E205" s="229"/>
      <c r="F205" s="229"/>
      <c r="G205" s="229"/>
      <c r="H205" s="172"/>
      <c r="I205" s="498"/>
      <c r="J205" s="172"/>
      <c r="K205" s="172"/>
      <c r="L205" s="172"/>
      <c r="M205" s="509"/>
      <c r="P205" s="229"/>
    </row>
    <row r="206" spans="1:16" s="197" customFormat="1" ht="12.95" customHeight="1">
      <c r="A206" s="196" t="s">
        <v>601</v>
      </c>
      <c r="B206" s="197" t="s">
        <v>602</v>
      </c>
      <c r="C206" s="219">
        <v>59604.15</v>
      </c>
      <c r="D206" s="219">
        <v>55173.05</v>
      </c>
      <c r="E206" s="219">
        <v>0</v>
      </c>
      <c r="F206" s="219"/>
      <c r="G206" s="219">
        <v>0</v>
      </c>
      <c r="H206" s="260"/>
      <c r="I206" s="490">
        <v>0</v>
      </c>
      <c r="J206" s="260">
        <v>0</v>
      </c>
      <c r="K206" s="260"/>
      <c r="L206" s="260">
        <v>0</v>
      </c>
      <c r="M206" s="169">
        <f t="shared" ref="M206:M217" si="39">L206-J206</f>
        <v>0</v>
      </c>
      <c r="N206" s="198"/>
      <c r="P206" s="219"/>
    </row>
    <row r="207" spans="1:16" s="197" customFormat="1" ht="12.95" customHeight="1">
      <c r="A207" s="196" t="s">
        <v>603</v>
      </c>
      <c r="B207" s="197" t="s">
        <v>604</v>
      </c>
      <c r="C207" s="219">
        <v>8913.0499999999993</v>
      </c>
      <c r="D207" s="219">
        <v>8506.34</v>
      </c>
      <c r="E207" s="219">
        <v>0</v>
      </c>
      <c r="F207" s="219"/>
      <c r="G207" s="219">
        <v>0</v>
      </c>
      <c r="H207" s="260"/>
      <c r="I207" s="490">
        <v>0</v>
      </c>
      <c r="J207" s="260">
        <v>0</v>
      </c>
      <c r="K207" s="260"/>
      <c r="L207" s="260">
        <v>0</v>
      </c>
      <c r="M207" s="169">
        <f t="shared" si="39"/>
        <v>0</v>
      </c>
      <c r="N207" s="198" t="s">
        <v>826</v>
      </c>
      <c r="P207" s="219"/>
    </row>
    <row r="208" spans="1:16" s="197" customFormat="1" ht="12.95" customHeight="1">
      <c r="A208" s="196" t="s">
        <v>605</v>
      </c>
      <c r="B208" s="197" t="s">
        <v>606</v>
      </c>
      <c r="C208" s="219">
        <v>27360.68</v>
      </c>
      <c r="D208" s="219">
        <v>25492.62</v>
      </c>
      <c r="E208" s="398">
        <v>0</v>
      </c>
      <c r="F208" s="398"/>
      <c r="G208" s="398">
        <v>0</v>
      </c>
      <c r="H208" s="288"/>
      <c r="I208" s="491">
        <v>0</v>
      </c>
      <c r="J208" s="288">
        <v>0</v>
      </c>
      <c r="K208" s="288"/>
      <c r="L208" s="288">
        <v>0</v>
      </c>
      <c r="M208" s="169">
        <f t="shared" si="39"/>
        <v>0</v>
      </c>
      <c r="N208" s="198"/>
      <c r="P208" s="219"/>
    </row>
    <row r="209" spans="1:16" s="197" customFormat="1" ht="12.95" customHeight="1">
      <c r="A209" s="196" t="s">
        <v>607</v>
      </c>
      <c r="B209" s="197" t="s">
        <v>608</v>
      </c>
      <c r="C209" s="219">
        <v>4409.41</v>
      </c>
      <c r="D209" s="219">
        <v>4086.68</v>
      </c>
      <c r="E209" s="398">
        <f>SUM(E206)*E613</f>
        <v>0</v>
      </c>
      <c r="F209" s="398"/>
      <c r="G209" s="398">
        <f>SUM(G206)*G613</f>
        <v>0</v>
      </c>
      <c r="H209" s="288"/>
      <c r="I209" s="491">
        <f>SUM(I206)*I613</f>
        <v>0</v>
      </c>
      <c r="J209" s="288">
        <f>SUM(J206)*J613</f>
        <v>0</v>
      </c>
      <c r="K209" s="288"/>
      <c r="L209" s="288">
        <f>SUM(L206)*L613</f>
        <v>0</v>
      </c>
      <c r="M209" s="169">
        <f t="shared" si="39"/>
        <v>0</v>
      </c>
      <c r="N209" s="198"/>
      <c r="P209" s="219"/>
    </row>
    <row r="210" spans="1:16" s="197" customFormat="1" ht="12.95" customHeight="1">
      <c r="A210" s="196" t="s">
        <v>609</v>
      </c>
      <c r="B210" s="197" t="s">
        <v>610</v>
      </c>
      <c r="C210" s="219">
        <v>680.8</v>
      </c>
      <c r="D210" s="219">
        <v>1363.44</v>
      </c>
      <c r="E210" s="219">
        <v>0</v>
      </c>
      <c r="F210" s="219"/>
      <c r="G210" s="219">
        <v>0</v>
      </c>
      <c r="H210" s="260"/>
      <c r="I210" s="490">
        <v>0</v>
      </c>
      <c r="J210" s="260">
        <v>0</v>
      </c>
      <c r="K210" s="260"/>
      <c r="L210" s="260">
        <v>0</v>
      </c>
      <c r="M210" s="169">
        <f t="shared" si="39"/>
        <v>0</v>
      </c>
      <c r="N210" s="198"/>
      <c r="P210" s="219"/>
    </row>
    <row r="211" spans="1:16" s="197" customFormat="1" ht="12.95" customHeight="1">
      <c r="A211" s="196" t="s">
        <v>611</v>
      </c>
      <c r="B211" s="197" t="s">
        <v>612</v>
      </c>
      <c r="C211" s="219">
        <v>36.54</v>
      </c>
      <c r="D211" s="219">
        <v>2.5</v>
      </c>
      <c r="E211" s="219">
        <v>0</v>
      </c>
      <c r="F211" s="219"/>
      <c r="G211" s="219">
        <v>0</v>
      </c>
      <c r="H211" s="260"/>
      <c r="I211" s="490">
        <v>0</v>
      </c>
      <c r="J211" s="260">
        <v>0</v>
      </c>
      <c r="K211" s="260"/>
      <c r="L211" s="260">
        <v>0</v>
      </c>
      <c r="M211" s="169">
        <f t="shared" si="39"/>
        <v>0</v>
      </c>
      <c r="N211" s="198"/>
      <c r="P211" s="219"/>
    </row>
    <row r="212" spans="1:16" s="197" customFormat="1" ht="12.95" customHeight="1">
      <c r="A212" s="196" t="s">
        <v>956</v>
      </c>
      <c r="B212" s="197" t="s">
        <v>957</v>
      </c>
      <c r="C212" s="219"/>
      <c r="D212" s="219"/>
      <c r="E212" s="219">
        <v>6350.35</v>
      </c>
      <c r="F212" s="219"/>
      <c r="G212" s="219">
        <v>6246.16</v>
      </c>
      <c r="H212" s="260"/>
      <c r="I212" s="490">
        <v>6000</v>
      </c>
      <c r="J212" s="260">
        <v>6000</v>
      </c>
      <c r="K212" s="260"/>
      <c r="L212" s="260">
        <v>8000</v>
      </c>
      <c r="M212" s="169">
        <f t="shared" si="39"/>
        <v>2000</v>
      </c>
      <c r="N212" s="198"/>
      <c r="P212" s="219"/>
    </row>
    <row r="213" spans="1:16" s="197" customFormat="1" ht="12.95" customHeight="1">
      <c r="A213" s="196" t="s">
        <v>881</v>
      </c>
      <c r="B213" s="197" t="s">
        <v>631</v>
      </c>
      <c r="C213" s="219"/>
      <c r="D213" s="219">
        <v>28983</v>
      </c>
      <c r="E213" s="219">
        <v>85331.02</v>
      </c>
      <c r="F213" s="219"/>
      <c r="G213" s="219">
        <v>86948</v>
      </c>
      <c r="H213" s="260"/>
      <c r="I213" s="490">
        <v>92243</v>
      </c>
      <c r="J213" s="260">
        <v>92243</v>
      </c>
      <c r="K213" s="260"/>
      <c r="L213" s="260">
        <v>92243</v>
      </c>
      <c r="M213" s="169">
        <f t="shared" si="39"/>
        <v>0</v>
      </c>
      <c r="N213" s="198"/>
      <c r="P213" s="219"/>
    </row>
    <row r="214" spans="1:16" s="197" customFormat="1" ht="12.95" customHeight="1">
      <c r="A214" s="196" t="s">
        <v>614</v>
      </c>
      <c r="B214" s="197" t="s">
        <v>552</v>
      </c>
      <c r="C214" s="219">
        <v>785.39</v>
      </c>
      <c r="D214" s="219">
        <v>57.01</v>
      </c>
      <c r="E214" s="219"/>
      <c r="F214" s="219"/>
      <c r="G214" s="219">
        <v>0</v>
      </c>
      <c r="H214" s="260"/>
      <c r="I214" s="490">
        <v>0</v>
      </c>
      <c r="J214" s="260">
        <v>0</v>
      </c>
      <c r="K214" s="260"/>
      <c r="L214" s="260">
        <v>0</v>
      </c>
      <c r="M214" s="169">
        <f t="shared" si="39"/>
        <v>0</v>
      </c>
      <c r="N214" s="198"/>
      <c r="P214" s="219"/>
    </row>
    <row r="215" spans="1:16" s="197" customFormat="1" ht="12.95" customHeight="1">
      <c r="A215" s="196" t="s">
        <v>619</v>
      </c>
      <c r="B215" s="197" t="s">
        <v>620</v>
      </c>
      <c r="C215" s="219">
        <v>1055.24</v>
      </c>
      <c r="D215" s="219">
        <v>972.08</v>
      </c>
      <c r="E215" s="219">
        <v>82.42</v>
      </c>
      <c r="F215" s="219"/>
      <c r="G215" s="219">
        <v>580.78</v>
      </c>
      <c r="H215" s="260"/>
      <c r="I215" s="490">
        <v>1000</v>
      </c>
      <c r="J215" s="260">
        <v>1000</v>
      </c>
      <c r="K215" s="260"/>
      <c r="L215" s="260">
        <v>500</v>
      </c>
      <c r="M215" s="169">
        <f t="shared" si="39"/>
        <v>-500</v>
      </c>
      <c r="N215" s="198"/>
      <c r="P215" s="219"/>
    </row>
    <row r="216" spans="1:16" s="197" customFormat="1" ht="12.95" customHeight="1">
      <c r="A216" s="196" t="s">
        <v>615</v>
      </c>
      <c r="B216" s="197" t="s">
        <v>616</v>
      </c>
      <c r="C216" s="219">
        <v>2380</v>
      </c>
      <c r="D216" s="219">
        <v>2389.56</v>
      </c>
      <c r="E216" s="219">
        <v>2086.25</v>
      </c>
      <c r="F216" s="219"/>
      <c r="G216" s="219">
        <v>2485.0100000000002</v>
      </c>
      <c r="H216" s="260"/>
      <c r="I216" s="490">
        <v>3000</v>
      </c>
      <c r="J216" s="260">
        <v>3000</v>
      </c>
      <c r="K216" s="260"/>
      <c r="L216" s="260">
        <v>3000</v>
      </c>
      <c r="M216" s="169">
        <f t="shared" si="39"/>
        <v>0</v>
      </c>
      <c r="N216" s="198"/>
      <c r="P216" s="219"/>
    </row>
    <row r="217" spans="1:16" s="197" customFormat="1" ht="12.95" customHeight="1">
      <c r="A217" s="196" t="s">
        <v>629</v>
      </c>
      <c r="B217" s="197" t="s">
        <v>630</v>
      </c>
      <c r="C217" s="219">
        <v>1627.6</v>
      </c>
      <c r="D217" s="219">
        <v>-135.37</v>
      </c>
      <c r="E217" s="219"/>
      <c r="F217" s="219"/>
      <c r="G217" s="219">
        <v>0</v>
      </c>
      <c r="H217" s="260"/>
      <c r="I217" s="490">
        <v>200</v>
      </c>
      <c r="J217" s="260">
        <v>200</v>
      </c>
      <c r="K217" s="260"/>
      <c r="L217" s="260">
        <v>200</v>
      </c>
      <c r="M217" s="169">
        <f t="shared" si="39"/>
        <v>0</v>
      </c>
      <c r="N217" s="198"/>
      <c r="P217" s="219"/>
    </row>
    <row r="218" spans="1:16">
      <c r="A218" s="170"/>
      <c r="M218" s="260"/>
    </row>
    <row r="219" spans="1:16" s="167" customFormat="1">
      <c r="A219" s="176" t="s">
        <v>13</v>
      </c>
      <c r="B219" s="167" t="s">
        <v>14</v>
      </c>
      <c r="C219" s="174">
        <f t="shared" ref="C219:D219" si="40">SUM(C206:C218)</f>
        <v>106852.86000000002</v>
      </c>
      <c r="D219" s="221">
        <f t="shared" si="40"/>
        <v>126890.90999999999</v>
      </c>
      <c r="E219" s="221">
        <f t="shared" ref="E219:M219" si="41">SUM(E206:E218)</f>
        <v>93850.040000000008</v>
      </c>
      <c r="F219" s="221"/>
      <c r="G219" s="221">
        <f t="shared" si="41"/>
        <v>96259.95</v>
      </c>
      <c r="H219" s="174"/>
      <c r="I219" s="494">
        <f t="shared" si="41"/>
        <v>102443</v>
      </c>
      <c r="J219" s="174">
        <f t="shared" ref="J219:L219" si="42">SUM(J206:J218)</f>
        <v>102443</v>
      </c>
      <c r="K219" s="174"/>
      <c r="L219" s="174">
        <f t="shared" si="42"/>
        <v>103943</v>
      </c>
      <c r="M219" s="174">
        <f t="shared" si="41"/>
        <v>1500</v>
      </c>
      <c r="P219" s="229"/>
    </row>
    <row r="220" spans="1:16">
      <c r="A220" s="170"/>
    </row>
    <row r="221" spans="1:16">
      <c r="A221" s="170">
        <v>112293190</v>
      </c>
      <c r="B221" s="164" t="s">
        <v>882</v>
      </c>
      <c r="D221" s="219">
        <v>500</v>
      </c>
      <c r="E221" s="219"/>
      <c r="F221" s="219"/>
      <c r="G221" s="219">
        <v>0</v>
      </c>
      <c r="H221" s="260"/>
      <c r="I221" s="490">
        <v>500</v>
      </c>
      <c r="J221" s="260">
        <v>500</v>
      </c>
      <c r="K221" s="260"/>
      <c r="L221" s="260">
        <v>500</v>
      </c>
      <c r="M221" s="169">
        <f t="shared" ref="M221:M228" si="43">L221-J221</f>
        <v>0</v>
      </c>
    </row>
    <row r="222" spans="1:16" s="197" customFormat="1" ht="12.95" customHeight="1">
      <c r="A222" s="196" t="s">
        <v>613</v>
      </c>
      <c r="B222" s="197" t="s">
        <v>548</v>
      </c>
      <c r="C222" s="219">
        <v>3411.75</v>
      </c>
      <c r="D222" s="219">
        <v>14180.94</v>
      </c>
      <c r="E222" s="219">
        <v>10673.52</v>
      </c>
      <c r="F222" s="219"/>
      <c r="G222" s="219">
        <v>13771.99</v>
      </c>
      <c r="H222" s="260"/>
      <c r="I222" s="490">
        <v>11500</v>
      </c>
      <c r="J222" s="260">
        <v>11500</v>
      </c>
      <c r="K222" s="260"/>
      <c r="L222" s="260">
        <v>11500</v>
      </c>
      <c r="M222" s="169">
        <f t="shared" si="43"/>
        <v>0</v>
      </c>
      <c r="N222" s="198"/>
      <c r="P222" s="219"/>
    </row>
    <row r="223" spans="1:16" s="197" customFormat="1" ht="12.95" customHeight="1">
      <c r="A223" s="196" t="s">
        <v>958</v>
      </c>
      <c r="B223" s="197" t="s">
        <v>709</v>
      </c>
      <c r="C223" s="219"/>
      <c r="D223" s="219"/>
      <c r="E223" s="219">
        <v>275</v>
      </c>
      <c r="F223" s="219"/>
      <c r="G223" s="219">
        <v>0</v>
      </c>
      <c r="H223" s="260"/>
      <c r="I223" s="490">
        <v>275</v>
      </c>
      <c r="J223" s="260">
        <v>275</v>
      </c>
      <c r="K223" s="260"/>
      <c r="L223" s="260">
        <v>275</v>
      </c>
      <c r="M223" s="169">
        <f t="shared" si="43"/>
        <v>0</v>
      </c>
      <c r="N223" s="198"/>
      <c r="P223" s="219"/>
    </row>
    <row r="224" spans="1:16" s="197" customFormat="1" ht="12.95" customHeight="1">
      <c r="A224" s="196" t="s">
        <v>627</v>
      </c>
      <c r="B224" s="197" t="s">
        <v>628</v>
      </c>
      <c r="C224" s="219">
        <v>4501</v>
      </c>
      <c r="D224" s="219">
        <v>4402</v>
      </c>
      <c r="E224" s="219">
        <v>4622</v>
      </c>
      <c r="F224" s="219"/>
      <c r="G224" s="219">
        <v>5340</v>
      </c>
      <c r="H224" s="260"/>
      <c r="I224" s="490">
        <v>5340</v>
      </c>
      <c r="J224" s="260">
        <v>5340</v>
      </c>
      <c r="K224" s="260"/>
      <c r="L224" s="260">
        <v>5820</v>
      </c>
      <c r="M224" s="169">
        <f t="shared" si="43"/>
        <v>480</v>
      </c>
      <c r="N224" s="198"/>
      <c r="P224" s="219"/>
    </row>
    <row r="225" spans="1:16" s="197" customFormat="1" ht="12.95" customHeight="1">
      <c r="A225" s="196" t="s">
        <v>617</v>
      </c>
      <c r="B225" s="197" t="s">
        <v>618</v>
      </c>
      <c r="C225" s="219">
        <v>99.43</v>
      </c>
      <c r="D225" s="219">
        <v>983.04</v>
      </c>
      <c r="E225" s="219">
        <v>234.64</v>
      </c>
      <c r="F225" s="219"/>
      <c r="G225" s="219">
        <v>348.83</v>
      </c>
      <c r="H225" s="260"/>
      <c r="I225" s="490">
        <v>400</v>
      </c>
      <c r="J225" s="260">
        <v>400</v>
      </c>
      <c r="K225" s="260"/>
      <c r="L225" s="260">
        <v>400</v>
      </c>
      <c r="M225" s="169">
        <f t="shared" si="43"/>
        <v>0</v>
      </c>
      <c r="N225" s="198"/>
      <c r="P225" s="219"/>
    </row>
    <row r="226" spans="1:16" s="197" customFormat="1" ht="12.95" customHeight="1">
      <c r="A226" s="196" t="s">
        <v>621</v>
      </c>
      <c r="B226" s="197" t="s">
        <v>1197</v>
      </c>
      <c r="C226" s="219">
        <v>5720</v>
      </c>
      <c r="D226" s="219">
        <v>11934.11</v>
      </c>
      <c r="E226" s="219">
        <v>9250</v>
      </c>
      <c r="F226" s="219"/>
      <c r="G226" s="219">
        <v>3700</v>
      </c>
      <c r="H226" s="260"/>
      <c r="I226" s="490">
        <v>3700</v>
      </c>
      <c r="J226" s="260">
        <v>3700</v>
      </c>
      <c r="K226" s="260"/>
      <c r="L226" s="260">
        <v>1940</v>
      </c>
      <c r="M226" s="169">
        <f t="shared" si="43"/>
        <v>-1760</v>
      </c>
      <c r="N226" s="198" t="s">
        <v>622</v>
      </c>
      <c r="P226" s="219"/>
    </row>
    <row r="227" spans="1:16" s="197" customFormat="1" ht="12.95" customHeight="1">
      <c r="A227" s="196" t="s">
        <v>623</v>
      </c>
      <c r="B227" s="197" t="s">
        <v>624</v>
      </c>
      <c r="C227" s="219">
        <v>737.75</v>
      </c>
      <c r="D227" s="219">
        <v>850</v>
      </c>
      <c r="E227" s="219">
        <v>344.29</v>
      </c>
      <c r="F227" s="219"/>
      <c r="G227" s="219">
        <v>342.5</v>
      </c>
      <c r="H227" s="260"/>
      <c r="I227" s="490">
        <v>850</v>
      </c>
      <c r="J227" s="260">
        <v>850</v>
      </c>
      <c r="K227" s="260"/>
      <c r="L227" s="260">
        <v>400</v>
      </c>
      <c r="M227" s="169">
        <f t="shared" si="43"/>
        <v>-450</v>
      </c>
      <c r="N227" s="198"/>
      <c r="P227" s="219"/>
    </row>
    <row r="228" spans="1:16" s="197" customFormat="1" ht="12.95" customHeight="1">
      <c r="A228" s="196" t="s">
        <v>625</v>
      </c>
      <c r="B228" s="197" t="s">
        <v>626</v>
      </c>
      <c r="C228" s="219">
        <v>3845.04</v>
      </c>
      <c r="D228" s="219">
        <v>3709.69</v>
      </c>
      <c r="E228" s="219">
        <v>4360.5</v>
      </c>
      <c r="F228" s="219"/>
      <c r="G228" s="219">
        <v>3581.77</v>
      </c>
      <c r="H228" s="260"/>
      <c r="I228" s="490">
        <v>5000</v>
      </c>
      <c r="J228" s="260">
        <v>4000</v>
      </c>
      <c r="K228" s="260"/>
      <c r="L228" s="260">
        <v>11530</v>
      </c>
      <c r="M228" s="169">
        <f t="shared" si="43"/>
        <v>7530</v>
      </c>
      <c r="N228" s="198"/>
      <c r="P228" s="219"/>
    </row>
    <row r="229" spans="1:16" s="197" customFormat="1" ht="12.95" customHeight="1">
      <c r="A229" s="196"/>
      <c r="C229" s="219"/>
      <c r="D229" s="219"/>
      <c r="E229" s="219"/>
      <c r="F229" s="219"/>
      <c r="G229" s="219"/>
      <c r="H229" s="260"/>
      <c r="I229" s="490"/>
      <c r="J229" s="260"/>
      <c r="K229" s="260"/>
      <c r="L229" s="260"/>
      <c r="M229" s="169"/>
      <c r="N229" s="198"/>
      <c r="P229" s="219"/>
    </row>
    <row r="230" spans="1:16" s="167" customFormat="1">
      <c r="A230" s="176" t="s">
        <v>15</v>
      </c>
      <c r="B230" s="167" t="s">
        <v>16</v>
      </c>
      <c r="C230" s="235">
        <f t="shared" ref="C230:M230" si="44">SUM(C221:C228)</f>
        <v>18314.97</v>
      </c>
      <c r="D230" s="284">
        <f t="shared" si="44"/>
        <v>36559.780000000006</v>
      </c>
      <c r="E230" s="284">
        <f t="shared" si="44"/>
        <v>29759.95</v>
      </c>
      <c r="F230" s="284"/>
      <c r="G230" s="284">
        <f t="shared" ref="G230" si="45">SUM(G221:G228)</f>
        <v>27085.09</v>
      </c>
      <c r="H230" s="235"/>
      <c r="I230" s="494">
        <f t="shared" ref="I230" si="46">SUM(I221:I228)</f>
        <v>27565</v>
      </c>
      <c r="J230" s="235">
        <f t="shared" ref="J230:L230" si="47">SUM(J221:J228)</f>
        <v>26565</v>
      </c>
      <c r="K230" s="235"/>
      <c r="L230" s="235">
        <f t="shared" si="47"/>
        <v>32365</v>
      </c>
      <c r="M230" s="235">
        <f t="shared" si="44"/>
        <v>5800</v>
      </c>
      <c r="P230" s="229"/>
    </row>
    <row r="231" spans="1:16" s="186" customFormat="1">
      <c r="A231" s="189"/>
      <c r="C231" s="226"/>
      <c r="D231" s="226"/>
      <c r="E231" s="226"/>
      <c r="F231" s="226"/>
      <c r="G231" s="226"/>
      <c r="H231" s="187"/>
      <c r="I231" s="499"/>
      <c r="J231" s="187"/>
      <c r="K231" s="187"/>
      <c r="L231" s="187"/>
      <c r="M231" s="216"/>
      <c r="P231" s="226"/>
    </row>
    <row r="232" spans="1:16" s="197" customFormat="1" ht="12.95" customHeight="1">
      <c r="A232" s="196" t="s">
        <v>650</v>
      </c>
      <c r="B232" s="197" t="s">
        <v>651</v>
      </c>
      <c r="C232" s="219">
        <v>36769.230000000003</v>
      </c>
      <c r="D232" s="219">
        <v>41200</v>
      </c>
      <c r="E232" s="219">
        <v>30751.73</v>
      </c>
      <c r="F232" s="219"/>
      <c r="G232" s="219">
        <v>30900.13</v>
      </c>
      <c r="H232" s="260"/>
      <c r="I232" s="490">
        <v>30900</v>
      </c>
      <c r="J232" s="260">
        <v>30900</v>
      </c>
      <c r="K232" s="260"/>
      <c r="L232" s="260">
        <v>36000</v>
      </c>
      <c r="M232" s="169">
        <f t="shared" ref="M232:M255" si="48">L232-J232</f>
        <v>5100</v>
      </c>
      <c r="N232" s="198" t="s">
        <v>652</v>
      </c>
      <c r="P232" s="219"/>
    </row>
    <row r="233" spans="1:16" s="197" customFormat="1" ht="12.95" customHeight="1">
      <c r="A233" s="196" t="s">
        <v>669</v>
      </c>
      <c r="B233" s="197" t="s">
        <v>670</v>
      </c>
      <c r="C233" s="219">
        <v>49633.4</v>
      </c>
      <c r="D233" s="219">
        <v>50165.32</v>
      </c>
      <c r="E233" s="219">
        <v>50354.86</v>
      </c>
      <c r="F233" s="219"/>
      <c r="G233" s="219">
        <v>60722.8</v>
      </c>
      <c r="H233" s="260"/>
      <c r="I233" s="490">
        <v>64082.41</v>
      </c>
      <c r="J233" s="260">
        <v>52740</v>
      </c>
      <c r="K233" s="260"/>
      <c r="L233" s="260">
        <v>63768</v>
      </c>
      <c r="M233" s="169">
        <f t="shared" si="48"/>
        <v>11028</v>
      </c>
      <c r="N233" s="198"/>
      <c r="P233" s="219"/>
    </row>
    <row r="234" spans="1:16" s="197" customFormat="1" ht="12.95" customHeight="1">
      <c r="A234" s="196" t="s">
        <v>1030</v>
      </c>
      <c r="B234" s="197" t="s">
        <v>1025</v>
      </c>
      <c r="C234" s="219"/>
      <c r="D234" s="219"/>
      <c r="E234" s="219">
        <v>38.6</v>
      </c>
      <c r="F234" s="219"/>
      <c r="G234" s="219">
        <v>0</v>
      </c>
      <c r="H234" s="260"/>
      <c r="I234" s="490">
        <v>2000</v>
      </c>
      <c r="J234" s="260">
        <v>2000</v>
      </c>
      <c r="K234" s="260"/>
      <c r="L234" s="260">
        <v>2000</v>
      </c>
      <c r="M234" s="169">
        <f t="shared" si="48"/>
        <v>0</v>
      </c>
      <c r="N234" s="198"/>
      <c r="P234" s="219"/>
    </row>
    <row r="235" spans="1:16" s="197" customFormat="1" ht="12.95" customHeight="1">
      <c r="A235" s="196" t="s">
        <v>1494</v>
      </c>
      <c r="B235" s="197" t="s">
        <v>1445</v>
      </c>
      <c r="C235" s="219"/>
      <c r="D235" s="219"/>
      <c r="E235" s="219"/>
      <c r="F235" s="219"/>
      <c r="G235" s="219"/>
      <c r="H235" s="260"/>
      <c r="I235" s="490"/>
      <c r="J235" s="260"/>
      <c r="K235" s="260"/>
      <c r="L235" s="260">
        <v>411</v>
      </c>
      <c r="M235" s="169">
        <f t="shared" si="48"/>
        <v>411</v>
      </c>
      <c r="N235" s="198"/>
      <c r="P235" s="219"/>
    </row>
    <row r="236" spans="1:16" s="197" customFormat="1" ht="12.95" customHeight="1">
      <c r="A236" s="196" t="s">
        <v>653</v>
      </c>
      <c r="B236" s="197" t="s">
        <v>654</v>
      </c>
      <c r="C236" s="219">
        <v>0</v>
      </c>
      <c r="D236" s="219">
        <v>3700.54</v>
      </c>
      <c r="E236" s="219">
        <v>5218.41</v>
      </c>
      <c r="F236" s="219"/>
      <c r="G236" s="219">
        <v>5883.26</v>
      </c>
      <c r="H236" s="260"/>
      <c r="I236" s="490">
        <v>5859.5</v>
      </c>
      <c r="J236" s="260">
        <v>6071.22</v>
      </c>
      <c r="K236" s="260"/>
      <c r="L236" s="260">
        <v>6071.22</v>
      </c>
      <c r="M236" s="169">
        <f t="shared" si="48"/>
        <v>0</v>
      </c>
      <c r="N236" s="198" t="s">
        <v>826</v>
      </c>
      <c r="P236" s="219"/>
    </row>
    <row r="237" spans="1:16" s="197" customFormat="1" ht="12.95" customHeight="1">
      <c r="A237" s="196" t="s">
        <v>655</v>
      </c>
      <c r="B237" s="197" t="s">
        <v>893</v>
      </c>
      <c r="C237" s="219">
        <v>44497.11</v>
      </c>
      <c r="D237" s="219">
        <f>35893.05+214.11</f>
        <v>36107.160000000003</v>
      </c>
      <c r="E237" s="398">
        <f>16.43+13869.59+22779.79</f>
        <v>36665.81</v>
      </c>
      <c r="F237" s="398"/>
      <c r="G237" s="398">
        <f>13318.76+25871.65</f>
        <v>39190.410000000003</v>
      </c>
      <c r="H237" s="288"/>
      <c r="I237" s="491">
        <f>SUM(I232:I234)*I612+3160</f>
        <v>46103.811148000001</v>
      </c>
      <c r="J237" s="288">
        <f>SUM(J232:J234)*J612+3160</f>
        <v>41081.392</v>
      </c>
      <c r="K237" s="288"/>
      <c r="L237" s="288">
        <f>SUM(L232:L235)*L612+4400</f>
        <v>49644.861199999999</v>
      </c>
      <c r="M237" s="169">
        <f t="shared" si="48"/>
        <v>8563.4691999999995</v>
      </c>
      <c r="N237" s="198"/>
      <c r="P237" s="219"/>
    </row>
    <row r="238" spans="1:16" s="197" customFormat="1" ht="12.95" customHeight="1">
      <c r="A238" s="196" t="s">
        <v>656</v>
      </c>
      <c r="B238" s="197" t="s">
        <v>894</v>
      </c>
      <c r="C238" s="219">
        <v>6297.2</v>
      </c>
      <c r="D238" s="219">
        <f>6559.7+60.24</f>
        <v>6619.94</v>
      </c>
      <c r="E238" s="398">
        <f>2.95+2265.7+3749.75</f>
        <v>6018.4</v>
      </c>
      <c r="F238" s="398"/>
      <c r="G238" s="398">
        <f>2224.8+4596.22</f>
        <v>6821.02</v>
      </c>
      <c r="H238" s="288"/>
      <c r="I238" s="491">
        <f>SUM(I232:I234)*I613</f>
        <v>7419.1543650000003</v>
      </c>
      <c r="J238" s="288">
        <f>SUM(J232:J234)*J613</f>
        <v>6551.46</v>
      </c>
      <c r="K238" s="288"/>
      <c r="L238" s="288">
        <f>SUM(L232:L235)*L613</f>
        <v>7816.6934999999994</v>
      </c>
      <c r="M238" s="169">
        <f t="shared" si="48"/>
        <v>1265.2334999999994</v>
      </c>
      <c r="N238" s="198"/>
      <c r="P238" s="219"/>
    </row>
    <row r="239" spans="1:16" s="197" customFormat="1" ht="12.95" customHeight="1">
      <c r="A239" s="196" t="s">
        <v>657</v>
      </c>
      <c r="B239" s="197" t="s">
        <v>903</v>
      </c>
      <c r="C239" s="219">
        <v>1746.4</v>
      </c>
      <c r="D239" s="219">
        <v>3497.52</v>
      </c>
      <c r="E239" s="219">
        <v>1662.84</v>
      </c>
      <c r="F239" s="219"/>
      <c r="G239" s="219">
        <v>480.21</v>
      </c>
      <c r="H239" s="260"/>
      <c r="I239" s="490">
        <v>535</v>
      </c>
      <c r="J239" s="260">
        <v>535</v>
      </c>
      <c r="K239" s="260"/>
      <c r="L239" s="260">
        <v>535</v>
      </c>
      <c r="M239" s="169">
        <f t="shared" si="48"/>
        <v>0</v>
      </c>
      <c r="N239" s="198"/>
      <c r="P239" s="219"/>
    </row>
    <row r="240" spans="1:16" s="197" customFormat="1" ht="12.95" customHeight="1">
      <c r="A240" s="196" t="s">
        <v>658</v>
      </c>
      <c r="B240" s="197" t="s">
        <v>659</v>
      </c>
      <c r="C240" s="219"/>
      <c r="D240" s="219"/>
      <c r="E240" s="219">
        <v>150</v>
      </c>
      <c r="F240" s="219"/>
      <c r="G240" s="219">
        <v>300</v>
      </c>
      <c r="H240" s="260"/>
      <c r="I240" s="490">
        <v>300</v>
      </c>
      <c r="J240" s="260">
        <v>300</v>
      </c>
      <c r="K240" s="260"/>
      <c r="L240" s="260">
        <v>300</v>
      </c>
      <c r="M240" s="169">
        <f t="shared" si="48"/>
        <v>0</v>
      </c>
      <c r="N240" s="198"/>
      <c r="P240" s="219"/>
    </row>
    <row r="241" spans="1:16" s="197" customFormat="1" ht="12.95" customHeight="1">
      <c r="A241" s="196" t="s">
        <v>665</v>
      </c>
      <c r="B241" s="197" t="s">
        <v>666</v>
      </c>
      <c r="C241" s="219">
        <v>8000</v>
      </c>
      <c r="D241" s="219">
        <v>400</v>
      </c>
      <c r="E241" s="219">
        <v>312.02</v>
      </c>
      <c r="F241" s="219"/>
      <c r="G241" s="219">
        <v>0</v>
      </c>
      <c r="H241" s="260"/>
      <c r="I241" s="490">
        <v>400</v>
      </c>
      <c r="J241" s="260">
        <v>400</v>
      </c>
      <c r="K241" s="260"/>
      <c r="L241" s="260">
        <v>400</v>
      </c>
      <c r="M241" s="169">
        <f t="shared" si="48"/>
        <v>0</v>
      </c>
      <c r="N241" s="198"/>
      <c r="P241" s="219"/>
    </row>
    <row r="242" spans="1:16" s="197" customFormat="1" ht="12.95" customHeight="1">
      <c r="A242" s="196" t="s">
        <v>884</v>
      </c>
      <c r="B242" s="197" t="s">
        <v>687</v>
      </c>
      <c r="C242" s="219"/>
      <c r="D242" s="219"/>
      <c r="E242" s="219">
        <v>37.5</v>
      </c>
      <c r="F242" s="219"/>
      <c r="G242" s="219">
        <v>0</v>
      </c>
      <c r="H242" s="260"/>
      <c r="I242" s="490">
        <v>40</v>
      </c>
      <c r="J242" s="260">
        <v>40</v>
      </c>
      <c r="K242" s="260"/>
      <c r="L242" s="260">
        <v>40</v>
      </c>
      <c r="M242" s="169">
        <f t="shared" si="48"/>
        <v>0</v>
      </c>
      <c r="N242" s="198"/>
      <c r="P242" s="219"/>
    </row>
    <row r="243" spans="1:16" s="197" customFormat="1" ht="12.95" customHeight="1">
      <c r="A243" s="196" t="s">
        <v>660</v>
      </c>
      <c r="B243" s="197" t="s">
        <v>556</v>
      </c>
      <c r="C243" s="219">
        <v>626.82000000000005</v>
      </c>
      <c r="D243" s="219">
        <v>774.26</v>
      </c>
      <c r="E243" s="219"/>
      <c r="F243" s="219"/>
      <c r="G243" s="219">
        <v>0</v>
      </c>
      <c r="H243" s="260"/>
      <c r="I243" s="490">
        <v>0</v>
      </c>
      <c r="J243" s="260">
        <v>0</v>
      </c>
      <c r="K243" s="260"/>
      <c r="L243" s="260">
        <v>0</v>
      </c>
      <c r="M243" s="169">
        <f t="shared" si="48"/>
        <v>0</v>
      </c>
      <c r="N243" s="198"/>
      <c r="P243" s="219"/>
    </row>
    <row r="244" spans="1:16" s="197" customFormat="1" ht="12.75" customHeight="1">
      <c r="A244" s="196" t="s">
        <v>667</v>
      </c>
      <c r="B244" s="197" t="s">
        <v>668</v>
      </c>
      <c r="C244" s="219">
        <v>83.7</v>
      </c>
      <c r="D244" s="219">
        <v>89.77</v>
      </c>
      <c r="E244" s="219">
        <v>83.91</v>
      </c>
      <c r="F244" s="219"/>
      <c r="G244" s="219">
        <v>609.16999999999996</v>
      </c>
      <c r="H244" s="260"/>
      <c r="I244" s="490">
        <v>100</v>
      </c>
      <c r="J244" s="260">
        <v>1000</v>
      </c>
      <c r="K244" s="260"/>
      <c r="L244" s="260">
        <v>1000</v>
      </c>
      <c r="M244" s="169">
        <f t="shared" si="48"/>
        <v>0</v>
      </c>
      <c r="N244" s="198"/>
      <c r="P244" s="219"/>
    </row>
    <row r="245" spans="1:16" s="197" customFormat="1" ht="12.95" customHeight="1">
      <c r="A245" s="196" t="s">
        <v>642</v>
      </c>
      <c r="B245" s="197" t="s">
        <v>643</v>
      </c>
      <c r="C245" s="219">
        <v>3643</v>
      </c>
      <c r="D245" s="219">
        <v>3504</v>
      </c>
      <c r="E245" s="219">
        <v>4303.59</v>
      </c>
      <c r="F245" s="219"/>
      <c r="G245" s="219">
        <v>1916.9</v>
      </c>
      <c r="H245" s="260"/>
      <c r="I245" s="490">
        <v>5500</v>
      </c>
      <c r="J245" s="260">
        <v>4600</v>
      </c>
      <c r="K245" s="260"/>
      <c r="L245" s="260">
        <v>4600</v>
      </c>
      <c r="M245" s="169">
        <f t="shared" si="48"/>
        <v>0</v>
      </c>
      <c r="N245" s="198"/>
      <c r="P245" s="219"/>
    </row>
    <row r="246" spans="1:16" s="197" customFormat="1" ht="12.95" customHeight="1">
      <c r="A246" s="196" t="s">
        <v>671</v>
      </c>
      <c r="B246" s="197" t="s">
        <v>672</v>
      </c>
      <c r="C246" s="219">
        <v>6082.07</v>
      </c>
      <c r="D246" s="219">
        <v>7812.35</v>
      </c>
      <c r="E246" s="219">
        <v>5740.67</v>
      </c>
      <c r="F246" s="219"/>
      <c r="G246" s="219">
        <v>6291.81</v>
      </c>
      <c r="H246" s="260"/>
      <c r="I246" s="490">
        <v>6500</v>
      </c>
      <c r="J246" s="260">
        <v>6500</v>
      </c>
      <c r="K246" s="260"/>
      <c r="L246" s="260">
        <v>6500</v>
      </c>
      <c r="M246" s="169">
        <f t="shared" si="48"/>
        <v>0</v>
      </c>
      <c r="N246" s="198"/>
      <c r="P246" s="219"/>
    </row>
    <row r="247" spans="1:16" s="197" customFormat="1" ht="12.95" customHeight="1">
      <c r="A247" s="196" t="s">
        <v>673</v>
      </c>
      <c r="B247" s="197" t="s">
        <v>674</v>
      </c>
      <c r="C247" s="219">
        <v>3000</v>
      </c>
      <c r="D247" s="219">
        <v>3000</v>
      </c>
      <c r="E247" s="219"/>
      <c r="F247" s="219"/>
      <c r="G247" s="219">
        <v>0</v>
      </c>
      <c r="H247" s="260"/>
      <c r="I247" s="490">
        <v>3000</v>
      </c>
      <c r="J247" s="260">
        <v>3000</v>
      </c>
      <c r="K247" s="260"/>
      <c r="L247" s="260">
        <v>3000</v>
      </c>
      <c r="M247" s="169">
        <f t="shared" si="48"/>
        <v>0</v>
      </c>
      <c r="N247" s="198"/>
      <c r="P247" s="219"/>
    </row>
    <row r="248" spans="1:16" s="197" customFormat="1" ht="12.95" customHeight="1">
      <c r="A248" s="196" t="s">
        <v>685</v>
      </c>
      <c r="B248" s="197" t="s">
        <v>686</v>
      </c>
      <c r="C248" s="219">
        <v>17597</v>
      </c>
      <c r="D248" s="219">
        <v>17587.96</v>
      </c>
      <c r="E248" s="219">
        <v>18373</v>
      </c>
      <c r="F248" s="219"/>
      <c r="G248" s="219">
        <v>19865</v>
      </c>
      <c r="H248" s="260"/>
      <c r="I248" s="490">
        <v>19865</v>
      </c>
      <c r="J248" s="260">
        <v>19865</v>
      </c>
      <c r="K248" s="260"/>
      <c r="L248" s="260">
        <v>23259</v>
      </c>
      <c r="M248" s="169">
        <f t="shared" si="48"/>
        <v>3394</v>
      </c>
      <c r="N248" s="198"/>
      <c r="P248" s="219"/>
    </row>
    <row r="249" spans="1:16" s="197" customFormat="1" ht="12.95" customHeight="1">
      <c r="A249" s="196" t="s">
        <v>1355</v>
      </c>
      <c r="B249" s="197" t="s">
        <v>1409</v>
      </c>
      <c r="C249" s="219"/>
      <c r="D249" s="219"/>
      <c r="E249" s="219"/>
      <c r="F249" s="219"/>
      <c r="G249" s="219">
        <v>2700</v>
      </c>
      <c r="H249" s="260"/>
      <c r="I249" s="490"/>
      <c r="J249" s="260"/>
      <c r="K249" s="260"/>
      <c r="L249" s="260"/>
      <c r="M249" s="169"/>
      <c r="N249" s="198"/>
      <c r="P249" s="219"/>
    </row>
    <row r="250" spans="1:16" s="197" customFormat="1" ht="12.95" customHeight="1">
      <c r="A250" s="196" t="s">
        <v>661</v>
      </c>
      <c r="B250" s="197" t="s">
        <v>662</v>
      </c>
      <c r="C250" s="219">
        <v>5929.21</v>
      </c>
      <c r="D250" s="219">
        <v>4230.47</v>
      </c>
      <c r="E250" s="219">
        <v>7783.21</v>
      </c>
      <c r="F250" s="219"/>
      <c r="G250" s="219">
        <v>8569.08</v>
      </c>
      <c r="H250" s="260"/>
      <c r="I250" s="490">
        <v>8000</v>
      </c>
      <c r="J250" s="260">
        <v>8000</v>
      </c>
      <c r="K250" s="260"/>
      <c r="L250" s="260">
        <v>8000</v>
      </c>
      <c r="M250" s="169">
        <f t="shared" si="48"/>
        <v>0</v>
      </c>
      <c r="N250" s="198"/>
      <c r="P250" s="219"/>
    </row>
    <row r="251" spans="1:16" s="197" customFormat="1" ht="12.95" customHeight="1">
      <c r="A251" s="196" t="s">
        <v>663</v>
      </c>
      <c r="B251" s="197" t="s">
        <v>664</v>
      </c>
      <c r="C251" s="219">
        <v>4040.43</v>
      </c>
      <c r="D251" s="219">
        <v>4889.0200000000004</v>
      </c>
      <c r="E251" s="219">
        <v>10675.93</v>
      </c>
      <c r="F251" s="219"/>
      <c r="G251" s="219">
        <v>4602.0600000000004</v>
      </c>
      <c r="H251" s="260"/>
      <c r="I251" s="490">
        <v>10000</v>
      </c>
      <c r="J251" s="260">
        <v>10000</v>
      </c>
      <c r="K251" s="260"/>
      <c r="L251" s="260">
        <v>10000</v>
      </c>
      <c r="M251" s="169">
        <f t="shared" si="48"/>
        <v>0</v>
      </c>
      <c r="N251" s="198"/>
      <c r="P251" s="219"/>
    </row>
    <row r="252" spans="1:16" s="197" customFormat="1" ht="12.95" customHeight="1">
      <c r="A252" s="196" t="s">
        <v>644</v>
      </c>
      <c r="B252" s="197" t="s">
        <v>645</v>
      </c>
      <c r="C252" s="219">
        <v>13712.51</v>
      </c>
      <c r="D252" s="219">
        <v>17116.439999999999</v>
      </c>
      <c r="E252" s="219">
        <v>12445.02</v>
      </c>
      <c r="F252" s="219"/>
      <c r="G252" s="219">
        <v>11398.43</v>
      </c>
      <c r="H252" s="260"/>
      <c r="I252" s="490">
        <v>15000</v>
      </c>
      <c r="J252" s="260">
        <v>15000</v>
      </c>
      <c r="K252" s="260"/>
      <c r="L252" s="260">
        <v>15000</v>
      </c>
      <c r="M252" s="169">
        <f t="shared" si="48"/>
        <v>0</v>
      </c>
      <c r="N252" s="198"/>
      <c r="P252" s="219"/>
    </row>
    <row r="253" spans="1:16" s="197" customFormat="1" ht="12.95" customHeight="1">
      <c r="A253" s="196" t="s">
        <v>677</v>
      </c>
      <c r="B253" s="197" t="s">
        <v>678</v>
      </c>
      <c r="C253" s="219">
        <v>3181.01</v>
      </c>
      <c r="D253" s="219">
        <v>3064.62</v>
      </c>
      <c r="E253" s="219">
        <v>2869.18</v>
      </c>
      <c r="F253" s="219"/>
      <c r="G253" s="219">
        <v>1924.04</v>
      </c>
      <c r="H253" s="260"/>
      <c r="I253" s="490">
        <v>3500</v>
      </c>
      <c r="J253" s="260">
        <v>3500</v>
      </c>
      <c r="K253" s="260"/>
      <c r="L253" s="260">
        <v>3500</v>
      </c>
      <c r="M253" s="169">
        <f t="shared" si="48"/>
        <v>0</v>
      </c>
      <c r="N253" s="198"/>
      <c r="P253" s="219"/>
    </row>
    <row r="254" spans="1:16" s="197" customFormat="1" ht="12.95" customHeight="1">
      <c r="A254" s="196" t="s">
        <v>681</v>
      </c>
      <c r="B254" s="197" t="s">
        <v>682</v>
      </c>
      <c r="C254" s="219">
        <v>1130.71</v>
      </c>
      <c r="D254" s="219">
        <v>1186.1400000000001</v>
      </c>
      <c r="E254" s="219">
        <v>960.43</v>
      </c>
      <c r="F254" s="219"/>
      <c r="G254" s="219">
        <v>1025.6099999999999</v>
      </c>
      <c r="H254" s="260"/>
      <c r="I254" s="490">
        <v>1200</v>
      </c>
      <c r="J254" s="260">
        <v>1200</v>
      </c>
      <c r="K254" s="260"/>
      <c r="L254" s="260">
        <v>1200</v>
      </c>
      <c r="M254" s="169">
        <f t="shared" si="48"/>
        <v>0</v>
      </c>
      <c r="N254" s="198"/>
      <c r="P254" s="219"/>
    </row>
    <row r="255" spans="1:16" s="197" customFormat="1" ht="12.95" customHeight="1">
      <c r="A255" s="196" t="s">
        <v>633</v>
      </c>
      <c r="B255" s="197" t="s">
        <v>634</v>
      </c>
      <c r="C255" s="219">
        <v>12762.29</v>
      </c>
      <c r="D255" s="219">
        <v>11833.42</v>
      </c>
      <c r="E255" s="219">
        <v>12229.72</v>
      </c>
      <c r="F255" s="219"/>
      <c r="G255" s="219">
        <v>10941.71</v>
      </c>
      <c r="H255" s="260"/>
      <c r="I255" s="490">
        <v>15000</v>
      </c>
      <c r="J255" s="260">
        <v>15000</v>
      </c>
      <c r="K255" s="260"/>
      <c r="L255" s="260">
        <v>15000</v>
      </c>
      <c r="M255" s="169">
        <f t="shared" si="48"/>
        <v>0</v>
      </c>
      <c r="N255" s="198"/>
      <c r="P255" s="219"/>
    </row>
    <row r="256" spans="1:16" ht="53.25" customHeight="1" thickBot="1">
      <c r="A256" s="218" t="s">
        <v>26</v>
      </c>
      <c r="B256" s="166" t="s">
        <v>25</v>
      </c>
      <c r="C256" s="228">
        <f>Summary!D227</f>
        <v>0</v>
      </c>
      <c r="D256" s="282" t="str">
        <f>D7</f>
        <v>2018/2019 Actual</v>
      </c>
      <c r="E256" s="282" t="str">
        <f>E7</f>
        <v>2019/2020 Actual</v>
      </c>
      <c r="F256" s="282"/>
      <c r="G256" s="282" t="str">
        <f>G7</f>
        <v>2020/2021 Actual</v>
      </c>
      <c r="H256" s="287"/>
      <c r="I256" s="489" t="e">
        <f>I7</f>
        <v>#REF!</v>
      </c>
      <c r="J256" s="287" t="str">
        <f>J7</f>
        <v xml:space="preserve">2021-2022 Approved Budget </v>
      </c>
      <c r="K256" s="287"/>
      <c r="L256" s="287" t="str">
        <f>L7</f>
        <v xml:space="preserve">2021-2022 Amended Budget </v>
      </c>
      <c r="M256" s="508" t="s">
        <v>89</v>
      </c>
      <c r="N256" s="167" t="s">
        <v>110</v>
      </c>
    </row>
    <row r="257" spans="1:16" s="197" customFormat="1" ht="12.95" customHeight="1">
      <c r="A257" s="196" t="s">
        <v>639</v>
      </c>
      <c r="B257" s="197" t="s">
        <v>640</v>
      </c>
      <c r="C257" s="219">
        <v>519.97</v>
      </c>
      <c r="D257" s="219"/>
      <c r="E257" s="219"/>
      <c r="F257" s="219"/>
      <c r="G257" s="219">
        <v>0</v>
      </c>
      <c r="H257" s="260"/>
      <c r="I257" s="490">
        <v>0</v>
      </c>
      <c r="J257" s="260">
        <v>0</v>
      </c>
      <c r="K257" s="260"/>
      <c r="L257" s="260">
        <v>0</v>
      </c>
      <c r="M257" s="169">
        <f t="shared" ref="M257:M271" si="49">L257-J257</f>
        <v>0</v>
      </c>
      <c r="N257" s="198"/>
      <c r="P257" s="219"/>
    </row>
    <row r="258" spans="1:16" s="197" customFormat="1" ht="12.95" customHeight="1">
      <c r="A258" s="196" t="s">
        <v>688</v>
      </c>
      <c r="B258" s="197" t="s">
        <v>689</v>
      </c>
      <c r="C258" s="219">
        <v>1516.03</v>
      </c>
      <c r="D258" s="219">
        <v>1263.3499999999999</v>
      </c>
      <c r="E258" s="219">
        <v>870.05</v>
      </c>
      <c r="F258" s="219"/>
      <c r="G258" s="219">
        <v>826.27</v>
      </c>
      <c r="H258" s="260"/>
      <c r="I258" s="490">
        <v>1300</v>
      </c>
      <c r="J258" s="260">
        <v>1300</v>
      </c>
      <c r="K258" s="260"/>
      <c r="L258" s="260">
        <v>1300</v>
      </c>
      <c r="M258" s="169">
        <f t="shared" si="49"/>
        <v>0</v>
      </c>
      <c r="N258" s="198"/>
      <c r="P258" s="219"/>
    </row>
    <row r="259" spans="1:16" s="197" customFormat="1" ht="12.95" customHeight="1">
      <c r="A259" s="196" t="s">
        <v>679</v>
      </c>
      <c r="B259" s="197" t="s">
        <v>680</v>
      </c>
      <c r="C259" s="219">
        <v>1555.94</v>
      </c>
      <c r="D259" s="219">
        <v>1435.71</v>
      </c>
      <c r="E259" s="219">
        <v>1673.42</v>
      </c>
      <c r="F259" s="219"/>
      <c r="G259" s="219">
        <v>1405.8</v>
      </c>
      <c r="H259" s="260"/>
      <c r="I259" s="490">
        <v>2000</v>
      </c>
      <c r="J259" s="260">
        <v>2000</v>
      </c>
      <c r="K259" s="260"/>
      <c r="L259" s="260">
        <v>3000</v>
      </c>
      <c r="M259" s="169">
        <f t="shared" si="49"/>
        <v>1000</v>
      </c>
      <c r="N259" s="198"/>
      <c r="P259" s="219"/>
    </row>
    <row r="260" spans="1:16" s="197" customFormat="1" ht="12.95" customHeight="1">
      <c r="A260" s="196" t="s">
        <v>646</v>
      </c>
      <c r="B260" s="197" t="s">
        <v>647</v>
      </c>
      <c r="C260" s="219">
        <v>20086.560000000001</v>
      </c>
      <c r="D260" s="219">
        <v>19550.52</v>
      </c>
      <c r="E260" s="219">
        <v>18949.59</v>
      </c>
      <c r="F260" s="219"/>
      <c r="G260" s="219">
        <v>18127.43</v>
      </c>
      <c r="H260" s="260"/>
      <c r="I260" s="490">
        <v>20000</v>
      </c>
      <c r="J260" s="260">
        <v>20000</v>
      </c>
      <c r="K260" s="260"/>
      <c r="L260" s="260">
        <v>20000</v>
      </c>
      <c r="M260" s="169">
        <f t="shared" si="49"/>
        <v>0</v>
      </c>
      <c r="N260" s="198"/>
      <c r="P260" s="219"/>
    </row>
    <row r="261" spans="1:16" s="197" customFormat="1" ht="13.5" customHeight="1">
      <c r="A261" s="196" t="s">
        <v>648</v>
      </c>
      <c r="B261" s="197" t="s">
        <v>649</v>
      </c>
      <c r="C261" s="219">
        <v>2420.5500000000002</v>
      </c>
      <c r="D261" s="219">
        <v>825.89</v>
      </c>
      <c r="E261" s="219">
        <v>743.76</v>
      </c>
      <c r="F261" s="219"/>
      <c r="G261" s="219">
        <v>874.95</v>
      </c>
      <c r="H261" s="260"/>
      <c r="I261" s="490">
        <v>900</v>
      </c>
      <c r="J261" s="260">
        <v>900</v>
      </c>
      <c r="K261" s="260"/>
      <c r="L261" s="260">
        <v>1600</v>
      </c>
      <c r="M261" s="169">
        <f t="shared" si="49"/>
        <v>700</v>
      </c>
      <c r="N261" s="198"/>
      <c r="P261" s="219"/>
    </row>
    <row r="262" spans="1:16" s="197" customFormat="1" ht="12.95" customHeight="1">
      <c r="A262" s="196" t="s">
        <v>883</v>
      </c>
      <c r="B262" s="197" t="s">
        <v>895</v>
      </c>
      <c r="C262" s="219"/>
      <c r="D262" s="219">
        <v>2185.41</v>
      </c>
      <c r="E262" s="219">
        <v>2092.29</v>
      </c>
      <c r="F262" s="219"/>
      <c r="G262" s="219">
        <v>2339.8200000000002</v>
      </c>
      <c r="H262" s="260"/>
      <c r="I262" s="490">
        <v>2000</v>
      </c>
      <c r="J262" s="260">
        <v>2000</v>
      </c>
      <c r="K262" s="260"/>
      <c r="L262" s="260">
        <v>2000</v>
      </c>
      <c r="M262" s="169">
        <f t="shared" si="49"/>
        <v>0</v>
      </c>
      <c r="N262" s="198"/>
      <c r="P262" s="219"/>
    </row>
    <row r="263" spans="1:16" s="197" customFormat="1" ht="12.95" customHeight="1">
      <c r="A263" s="196" t="s">
        <v>635</v>
      </c>
      <c r="B263" s="197" t="s">
        <v>636</v>
      </c>
      <c r="C263" s="219">
        <v>24085.42</v>
      </c>
      <c r="D263" s="219">
        <v>18614.759999999998</v>
      </c>
      <c r="E263" s="219">
        <v>18169.57</v>
      </c>
      <c r="F263" s="219"/>
      <c r="G263" s="219">
        <v>17568.27</v>
      </c>
      <c r="H263" s="260"/>
      <c r="I263" s="490">
        <v>20000</v>
      </c>
      <c r="J263" s="260">
        <v>20000</v>
      </c>
      <c r="K263" s="260"/>
      <c r="L263" s="260">
        <v>20000</v>
      </c>
      <c r="M263" s="169">
        <f t="shared" si="49"/>
        <v>0</v>
      </c>
      <c r="N263" s="198"/>
      <c r="P263" s="219"/>
    </row>
    <row r="264" spans="1:16" s="197" customFormat="1" ht="12.95" customHeight="1">
      <c r="A264" s="196" t="s">
        <v>637</v>
      </c>
      <c r="B264" s="197" t="s">
        <v>638</v>
      </c>
      <c r="C264" s="219">
        <v>1018.33</v>
      </c>
      <c r="D264" s="219"/>
      <c r="E264" s="219"/>
      <c r="F264" s="219"/>
      <c r="G264" s="219">
        <v>0</v>
      </c>
      <c r="H264" s="260"/>
      <c r="I264" s="490">
        <v>0</v>
      </c>
      <c r="J264" s="260">
        <v>0</v>
      </c>
      <c r="K264" s="260"/>
      <c r="L264" s="260">
        <v>0</v>
      </c>
      <c r="M264" s="169">
        <f t="shared" si="49"/>
        <v>0</v>
      </c>
      <c r="N264" s="198"/>
      <c r="P264" s="219"/>
    </row>
    <row r="265" spans="1:16" s="197" customFormat="1" ht="12.95" customHeight="1">
      <c r="A265" s="196" t="s">
        <v>675</v>
      </c>
      <c r="B265" s="197" t="s">
        <v>676</v>
      </c>
      <c r="C265" s="219">
        <v>730.1</v>
      </c>
      <c r="D265" s="219">
        <v>722.58</v>
      </c>
      <c r="E265" s="219">
        <v>54</v>
      </c>
      <c r="F265" s="219"/>
      <c r="G265" s="219">
        <v>0</v>
      </c>
      <c r="H265" s="260"/>
      <c r="I265" s="490">
        <v>200</v>
      </c>
      <c r="J265" s="260">
        <v>200</v>
      </c>
      <c r="K265" s="260"/>
      <c r="L265" s="260">
        <v>1200</v>
      </c>
      <c r="M265" s="169">
        <f t="shared" si="49"/>
        <v>1000</v>
      </c>
      <c r="N265" s="198"/>
      <c r="P265" s="219"/>
    </row>
    <row r="266" spans="1:16" s="197" customFormat="1" ht="12.95" customHeight="1">
      <c r="A266" s="196" t="s">
        <v>1040</v>
      </c>
      <c r="B266" s="197" t="s">
        <v>1356</v>
      </c>
      <c r="C266" s="219"/>
      <c r="D266" s="219"/>
      <c r="E266" s="219">
        <v>1839.47</v>
      </c>
      <c r="F266" s="219"/>
      <c r="G266" s="219">
        <v>1988.77</v>
      </c>
      <c r="H266" s="260"/>
      <c r="I266" s="490">
        <v>2000</v>
      </c>
      <c r="J266" s="260">
        <v>2000</v>
      </c>
      <c r="K266" s="260"/>
      <c r="L266" s="260">
        <v>1000</v>
      </c>
      <c r="M266" s="169">
        <f t="shared" si="49"/>
        <v>-1000</v>
      </c>
      <c r="N266" s="198"/>
      <c r="P266" s="219"/>
    </row>
    <row r="267" spans="1:16" s="197" customFormat="1" ht="12.95" customHeight="1">
      <c r="A267" s="196" t="s">
        <v>1437</v>
      </c>
      <c r="B267" s="197" t="s">
        <v>1309</v>
      </c>
      <c r="C267" s="219"/>
      <c r="D267" s="219"/>
      <c r="E267" s="219"/>
      <c r="F267" s="219"/>
      <c r="G267" s="219"/>
      <c r="H267" s="260"/>
      <c r="I267" s="490"/>
      <c r="J267" s="260"/>
      <c r="K267" s="260"/>
      <c r="L267" s="260">
        <v>500</v>
      </c>
      <c r="M267" s="169">
        <f t="shared" si="49"/>
        <v>500</v>
      </c>
      <c r="N267" s="198"/>
      <c r="P267" s="219"/>
    </row>
    <row r="268" spans="1:16" s="197" customFormat="1" ht="12.95" customHeight="1">
      <c r="A268" s="196" t="s">
        <v>683</v>
      </c>
      <c r="B268" s="197" t="s">
        <v>684</v>
      </c>
      <c r="C268" s="219">
        <v>16926.68</v>
      </c>
      <c r="D268" s="219">
        <v>15019.18</v>
      </c>
      <c r="E268" s="219">
        <v>9990.18</v>
      </c>
      <c r="F268" s="219"/>
      <c r="G268" s="219">
        <v>11175.11</v>
      </c>
      <c r="H268" s="260"/>
      <c r="I268" s="490">
        <v>15000</v>
      </c>
      <c r="J268" s="260">
        <v>15000</v>
      </c>
      <c r="K268" s="260"/>
      <c r="L268" s="260">
        <v>12725</v>
      </c>
      <c r="M268" s="169">
        <f t="shared" si="49"/>
        <v>-2275</v>
      </c>
      <c r="N268" s="198"/>
      <c r="P268" s="219"/>
    </row>
    <row r="269" spans="1:16" s="197" customFormat="1" ht="12.95" customHeight="1">
      <c r="A269" s="196" t="s">
        <v>1438</v>
      </c>
      <c r="B269" s="197" t="s">
        <v>1439</v>
      </c>
      <c r="C269" s="219"/>
      <c r="D269" s="219"/>
      <c r="E269" s="219"/>
      <c r="F269" s="219"/>
      <c r="G269" s="219"/>
      <c r="H269" s="260"/>
      <c r="I269" s="490"/>
      <c r="J269" s="260"/>
      <c r="K269" s="260"/>
      <c r="L269" s="260">
        <v>575</v>
      </c>
      <c r="M269" s="169">
        <f t="shared" si="49"/>
        <v>575</v>
      </c>
      <c r="N269" s="198"/>
      <c r="P269" s="219"/>
    </row>
    <row r="270" spans="1:16" s="197" customFormat="1" ht="12.95" customHeight="1">
      <c r="A270" s="196" t="s">
        <v>641</v>
      </c>
      <c r="B270" s="197" t="s">
        <v>630</v>
      </c>
      <c r="C270" s="219">
        <v>86</v>
      </c>
      <c r="D270" s="219"/>
      <c r="E270" s="219">
        <v>154.44999999999999</v>
      </c>
      <c r="F270" s="219"/>
      <c r="G270" s="219">
        <v>70.53</v>
      </c>
      <c r="H270" s="260"/>
      <c r="I270" s="490">
        <v>200</v>
      </c>
      <c r="J270" s="260">
        <v>200</v>
      </c>
      <c r="K270" s="260"/>
      <c r="L270" s="260">
        <v>200</v>
      </c>
      <c r="M270" s="169">
        <f t="shared" si="49"/>
        <v>0</v>
      </c>
      <c r="N270" s="198"/>
      <c r="P270" s="219"/>
    </row>
    <row r="271" spans="1:16" s="197" customFormat="1" ht="12.95" customHeight="1">
      <c r="A271" s="196" t="s">
        <v>988</v>
      </c>
      <c r="B271" s="197" t="s">
        <v>989</v>
      </c>
      <c r="C271" s="219"/>
      <c r="D271" s="219"/>
      <c r="E271" s="219">
        <v>2670</v>
      </c>
      <c r="F271" s="219"/>
      <c r="G271" s="219">
        <v>1922</v>
      </c>
      <c r="H271" s="260"/>
      <c r="I271" s="490">
        <v>2100</v>
      </c>
      <c r="J271" s="260">
        <v>2100</v>
      </c>
      <c r="K271" s="260"/>
      <c r="L271" s="260">
        <v>5000</v>
      </c>
      <c r="M271" s="169">
        <f t="shared" si="49"/>
        <v>2900</v>
      </c>
      <c r="N271" s="198"/>
      <c r="P271" s="219"/>
    </row>
    <row r="272" spans="1:16" s="186" customFormat="1" ht="12.95" customHeight="1">
      <c r="A272" s="189"/>
      <c r="C272" s="226"/>
      <c r="D272" s="226"/>
      <c r="E272" s="226"/>
      <c r="F272" s="226"/>
      <c r="G272" s="226"/>
      <c r="H272" s="187"/>
      <c r="I272" s="499"/>
      <c r="J272" s="187"/>
      <c r="K272" s="187"/>
      <c r="L272" s="187"/>
      <c r="M272" s="216"/>
      <c r="P272" s="226"/>
    </row>
    <row r="273" spans="1:16" s="167" customFormat="1" ht="12.95" customHeight="1">
      <c r="A273" s="176" t="s">
        <v>17</v>
      </c>
      <c r="B273" s="167" t="s">
        <v>18</v>
      </c>
      <c r="C273" s="174">
        <f>SUM(C232:C270)</f>
        <v>287677.67</v>
      </c>
      <c r="D273" s="221">
        <f>SUM(D232:D270)</f>
        <v>276396.33</v>
      </c>
      <c r="E273" s="221">
        <f>SUM(E232:E271)</f>
        <v>263881.61</v>
      </c>
      <c r="F273" s="221"/>
      <c r="G273" s="221">
        <f>SUM(G232:G271)</f>
        <v>270440.58999999997</v>
      </c>
      <c r="H273" s="174"/>
      <c r="I273" s="494" t="e">
        <f>SUM(I232:I271)</f>
        <v>#REF!</v>
      </c>
      <c r="J273" s="174">
        <f>SUM(J232:J271)</f>
        <v>293984.07199999999</v>
      </c>
      <c r="K273" s="174"/>
      <c r="L273" s="174">
        <f>SUM(L232:L271)</f>
        <v>327145.77470000001</v>
      </c>
      <c r="M273" s="174">
        <f>SUM(M232:M271)</f>
        <v>33161.702699999994</v>
      </c>
      <c r="P273" s="229"/>
    </row>
    <row r="274" spans="1:16" s="167" customFormat="1" ht="12.95" customHeight="1">
      <c r="A274" s="176"/>
      <c r="C274" s="229"/>
      <c r="D274" s="222"/>
      <c r="E274" s="222"/>
      <c r="F274" s="222"/>
      <c r="G274" s="222"/>
      <c r="H274" s="177"/>
      <c r="I274" s="495"/>
      <c r="J274" s="177"/>
      <c r="K274" s="177"/>
      <c r="L274" s="177"/>
      <c r="M274" s="177"/>
      <c r="P274" s="229"/>
    </row>
    <row r="275" spans="1:16" s="197" customFormat="1" ht="12.95" customHeight="1">
      <c r="A275" s="196" t="s">
        <v>700</v>
      </c>
      <c r="B275" s="197" t="s">
        <v>701</v>
      </c>
      <c r="C275" s="219"/>
      <c r="D275" s="219"/>
      <c r="E275" s="219">
        <v>9765.31</v>
      </c>
      <c r="F275" s="219"/>
      <c r="G275" s="219">
        <v>10299.870000000001</v>
      </c>
      <c r="H275" s="260"/>
      <c r="I275" s="490">
        <v>10300</v>
      </c>
      <c r="J275" s="260">
        <v>10300</v>
      </c>
      <c r="K275" s="260"/>
      <c r="L275" s="260">
        <v>12000</v>
      </c>
      <c r="M275" s="169">
        <f t="shared" ref="M275:M301" si="50">L275-J275</f>
        <v>1700</v>
      </c>
      <c r="N275" s="198"/>
      <c r="P275" s="219"/>
    </row>
    <row r="276" spans="1:16" s="197" customFormat="1" ht="12.95" customHeight="1">
      <c r="A276" s="196" t="s">
        <v>690</v>
      </c>
      <c r="B276" s="197" t="s">
        <v>691</v>
      </c>
      <c r="C276" s="219">
        <v>44788.38</v>
      </c>
      <c r="D276" s="219">
        <v>44233.47</v>
      </c>
      <c r="E276" s="219">
        <v>53510.96</v>
      </c>
      <c r="F276" s="219"/>
      <c r="G276" s="219">
        <v>36190.949999999997</v>
      </c>
      <c r="H276" s="260"/>
      <c r="I276" s="490">
        <f>59666.2-13475.4</f>
        <v>46190.799999999996</v>
      </c>
      <c r="J276" s="260">
        <v>46532</v>
      </c>
      <c r="K276" s="260"/>
      <c r="L276" s="260">
        <v>45273.599999999999</v>
      </c>
      <c r="M276" s="169">
        <f t="shared" si="50"/>
        <v>-1258.4000000000015</v>
      </c>
      <c r="N276" s="198"/>
      <c r="P276" s="219"/>
    </row>
    <row r="277" spans="1:16" s="197" customFormat="1" ht="12.95" customHeight="1">
      <c r="A277" s="196" t="s">
        <v>692</v>
      </c>
      <c r="B277" s="197" t="s">
        <v>693</v>
      </c>
      <c r="C277" s="219">
        <v>11883.02</v>
      </c>
      <c r="D277" s="219">
        <v>11325.34</v>
      </c>
      <c r="E277" s="219">
        <v>11945.42</v>
      </c>
      <c r="F277" s="219"/>
      <c r="G277" s="219">
        <v>14127.8</v>
      </c>
      <c r="H277" s="260"/>
      <c r="I277" s="490">
        <v>13475.4</v>
      </c>
      <c r="J277" s="260">
        <v>13646</v>
      </c>
      <c r="K277" s="260"/>
      <c r="L277" s="260">
        <v>13646</v>
      </c>
      <c r="M277" s="169">
        <f t="shared" si="50"/>
        <v>0</v>
      </c>
      <c r="N277" s="198"/>
      <c r="P277" s="219"/>
    </row>
    <row r="278" spans="1:16" s="197" customFormat="1" ht="12.95" customHeight="1">
      <c r="A278" s="196" t="s">
        <v>698</v>
      </c>
      <c r="B278" s="197" t="s">
        <v>699</v>
      </c>
      <c r="C278" s="219">
        <v>6055</v>
      </c>
      <c r="D278" s="219">
        <v>3342.5</v>
      </c>
      <c r="E278" s="219">
        <v>12635.53</v>
      </c>
      <c r="F278" s="219"/>
      <c r="G278" s="219">
        <v>75.510000000000005</v>
      </c>
      <c r="H278" s="260"/>
      <c r="I278" s="490">
        <v>6000</v>
      </c>
      <c r="J278" s="260">
        <v>6000</v>
      </c>
      <c r="K278" s="260"/>
      <c r="L278" s="260">
        <v>6000</v>
      </c>
      <c r="M278" s="169">
        <f t="shared" si="50"/>
        <v>0</v>
      </c>
      <c r="N278" s="198"/>
      <c r="P278" s="219"/>
    </row>
    <row r="279" spans="1:16" s="197" customFormat="1" ht="12.95" customHeight="1">
      <c r="A279" s="196" t="s">
        <v>1301</v>
      </c>
      <c r="B279" s="197" t="s">
        <v>1302</v>
      </c>
      <c r="C279" s="219"/>
      <c r="D279" s="219"/>
      <c r="E279" s="219"/>
      <c r="F279" s="219"/>
      <c r="G279" s="219">
        <v>420</v>
      </c>
      <c r="H279" s="260"/>
      <c r="I279" s="490">
        <v>0</v>
      </c>
      <c r="J279" s="260">
        <v>0</v>
      </c>
      <c r="K279" s="260"/>
      <c r="L279" s="260">
        <v>0</v>
      </c>
      <c r="M279" s="169">
        <f t="shared" si="50"/>
        <v>0</v>
      </c>
      <c r="N279" s="198"/>
      <c r="P279" s="219"/>
    </row>
    <row r="280" spans="1:16" s="197" customFormat="1" ht="12.95" customHeight="1">
      <c r="A280" s="196" t="s">
        <v>694</v>
      </c>
      <c r="B280" s="197" t="s">
        <v>695</v>
      </c>
      <c r="C280" s="219">
        <v>1751.4</v>
      </c>
      <c r="D280" s="219">
        <v>730.7</v>
      </c>
      <c r="E280" s="219">
        <v>1805.69</v>
      </c>
      <c r="F280" s="219"/>
      <c r="G280" s="219">
        <v>2994.94</v>
      </c>
      <c r="H280" s="260"/>
      <c r="I280" s="490">
        <v>3350</v>
      </c>
      <c r="J280" s="260">
        <v>3350</v>
      </c>
      <c r="K280" s="260"/>
      <c r="L280" s="260">
        <v>3350</v>
      </c>
      <c r="M280" s="169">
        <f t="shared" si="50"/>
        <v>0</v>
      </c>
      <c r="N280" s="198"/>
      <c r="P280" s="219"/>
    </row>
    <row r="281" spans="1:16" s="197" customFormat="1" ht="12.95" customHeight="1">
      <c r="A281" s="196" t="s">
        <v>696</v>
      </c>
      <c r="B281" s="197" t="s">
        <v>697</v>
      </c>
      <c r="C281" s="219">
        <v>1278.52</v>
      </c>
      <c r="D281" s="219">
        <v>1009.08</v>
      </c>
      <c r="E281" s="219">
        <v>679.5</v>
      </c>
      <c r="F281" s="219"/>
      <c r="G281" s="219">
        <v>0</v>
      </c>
      <c r="H281" s="260"/>
      <c r="I281" s="490">
        <v>1500</v>
      </c>
      <c r="J281" s="260">
        <v>1500</v>
      </c>
      <c r="K281" s="260"/>
      <c r="L281" s="260">
        <v>1500</v>
      </c>
      <c r="M281" s="169">
        <f t="shared" si="50"/>
        <v>0</v>
      </c>
      <c r="N281" s="198"/>
      <c r="P281" s="219"/>
    </row>
    <row r="282" spans="1:16" s="197" customFormat="1" ht="12.95" customHeight="1">
      <c r="A282" s="196" t="s">
        <v>978</v>
      </c>
      <c r="B282" s="197" t="s">
        <v>861</v>
      </c>
      <c r="C282" s="219"/>
      <c r="D282" s="219"/>
      <c r="E282" s="219">
        <v>1739.46</v>
      </c>
      <c r="F282" s="219"/>
      <c r="G282" s="219">
        <v>1961.05</v>
      </c>
      <c r="H282" s="260"/>
      <c r="I282" s="490">
        <v>1953.17</v>
      </c>
      <c r="J282" s="260">
        <v>2024</v>
      </c>
      <c r="K282" s="260"/>
      <c r="L282" s="260">
        <v>2024</v>
      </c>
      <c r="M282" s="169">
        <f t="shared" si="50"/>
        <v>0</v>
      </c>
      <c r="N282" s="198"/>
      <c r="P282" s="219"/>
    </row>
    <row r="283" spans="1:16" s="197" customFormat="1" ht="12.95" customHeight="1">
      <c r="A283" s="196" t="s">
        <v>702</v>
      </c>
      <c r="B283" s="197" t="s">
        <v>1198</v>
      </c>
      <c r="C283" s="219">
        <v>30036.27</v>
      </c>
      <c r="D283" s="219">
        <v>25804.31</v>
      </c>
      <c r="E283" s="398">
        <v>37266</v>
      </c>
      <c r="F283" s="398"/>
      <c r="G283" s="398">
        <f>6028.12+21625.06</f>
        <v>27653.18</v>
      </c>
      <c r="H283" s="288"/>
      <c r="I283" s="491">
        <f>SUM(I275:I281)*I612+2210</f>
        <v>37995.413359999999</v>
      </c>
      <c r="J283" s="288">
        <f>SUM(J275:J281)*J612+2210</f>
        <v>38222.038400000005</v>
      </c>
      <c r="K283" s="288"/>
      <c r="L283" s="288">
        <f>SUM(L275:L281)*L612+3200</f>
        <v>39407.578880000008</v>
      </c>
      <c r="M283" s="169">
        <f t="shared" si="50"/>
        <v>1185.5404800000033</v>
      </c>
      <c r="N283" s="198"/>
      <c r="P283" s="219"/>
    </row>
    <row r="284" spans="1:16" s="197" customFormat="1" ht="12.95" customHeight="1">
      <c r="A284" s="196" t="s">
        <v>703</v>
      </c>
      <c r="B284" s="197" t="s">
        <v>1199</v>
      </c>
      <c r="C284" s="219">
        <v>4895.05</v>
      </c>
      <c r="D284" s="219">
        <v>4542.45</v>
      </c>
      <c r="E284" s="398">
        <v>6704.49</v>
      </c>
      <c r="F284" s="398"/>
      <c r="G284" s="398">
        <f>1048.82+32.13+3819.38</f>
        <v>4900.33</v>
      </c>
      <c r="H284" s="288"/>
      <c r="I284" s="491">
        <f>SUM(I275:I281)*I613</f>
        <v>6182.4393</v>
      </c>
      <c r="J284" s="288">
        <f>SUM(J275:J281)*J613</f>
        <v>6221.5919999999996</v>
      </c>
      <c r="K284" s="288"/>
      <c r="L284" s="288">
        <f>SUM(L275:L281)*L613</f>
        <v>6255.3744000000006</v>
      </c>
      <c r="M284" s="169">
        <f t="shared" si="50"/>
        <v>33.782400000000962</v>
      </c>
      <c r="N284" s="198"/>
      <c r="P284" s="219"/>
    </row>
    <row r="285" spans="1:16" s="197" customFormat="1" ht="12.95" customHeight="1">
      <c r="A285" s="196" t="s">
        <v>704</v>
      </c>
      <c r="B285" s="197" t="s">
        <v>705</v>
      </c>
      <c r="C285" s="219">
        <v>532.79999999999995</v>
      </c>
      <c r="D285" s="219">
        <v>1067.04</v>
      </c>
      <c r="E285" s="219">
        <v>491.2</v>
      </c>
      <c r="F285" s="219"/>
      <c r="G285" s="219">
        <v>385.07</v>
      </c>
      <c r="H285" s="260"/>
      <c r="I285" s="490">
        <v>450</v>
      </c>
      <c r="J285" s="260">
        <v>450</v>
      </c>
      <c r="K285" s="260"/>
      <c r="L285" s="260">
        <v>450</v>
      </c>
      <c r="M285" s="169">
        <f t="shared" si="50"/>
        <v>0</v>
      </c>
      <c r="N285" s="198"/>
      <c r="P285" s="219"/>
    </row>
    <row r="286" spans="1:16" s="197" customFormat="1" ht="12.95" customHeight="1">
      <c r="A286" s="196" t="s">
        <v>1461</v>
      </c>
      <c r="B286" s="197" t="s">
        <v>1455</v>
      </c>
      <c r="C286" s="219"/>
      <c r="D286" s="219"/>
      <c r="E286" s="219"/>
      <c r="F286" s="219"/>
      <c r="G286" s="219"/>
      <c r="H286" s="260"/>
      <c r="I286" s="490"/>
      <c r="J286" s="260"/>
      <c r="K286" s="260"/>
      <c r="L286" s="260">
        <v>360</v>
      </c>
      <c r="M286" s="169">
        <f t="shared" si="50"/>
        <v>360</v>
      </c>
      <c r="N286" s="198"/>
      <c r="P286" s="219"/>
    </row>
    <row r="287" spans="1:16" s="197" customFormat="1" ht="12.95" customHeight="1">
      <c r="A287" s="196" t="s">
        <v>979</v>
      </c>
      <c r="B287" s="197" t="s">
        <v>980</v>
      </c>
      <c r="C287" s="219"/>
      <c r="D287" s="219"/>
      <c r="E287" s="219">
        <v>250</v>
      </c>
      <c r="F287" s="219"/>
      <c r="G287" s="219">
        <v>625</v>
      </c>
      <c r="H287" s="260"/>
      <c r="I287" s="490">
        <v>625</v>
      </c>
      <c r="J287" s="260">
        <v>625</v>
      </c>
      <c r="K287" s="260"/>
      <c r="L287" s="260">
        <v>625</v>
      </c>
      <c r="M287" s="169">
        <f t="shared" si="50"/>
        <v>0</v>
      </c>
      <c r="N287" s="198"/>
      <c r="P287" s="219"/>
    </row>
    <row r="288" spans="1:16" s="197" customFormat="1" ht="12.95" customHeight="1">
      <c r="A288" s="196" t="s">
        <v>706</v>
      </c>
      <c r="B288" s="197" t="s">
        <v>707</v>
      </c>
      <c r="C288" s="219">
        <v>520.70000000000005</v>
      </c>
      <c r="D288" s="219">
        <v>251</v>
      </c>
      <c r="E288" s="219">
        <v>444</v>
      </c>
      <c r="F288" s="219"/>
      <c r="G288" s="219">
        <v>700</v>
      </c>
      <c r="H288" s="260"/>
      <c r="I288" s="490">
        <v>600</v>
      </c>
      <c r="J288" s="260">
        <v>600</v>
      </c>
      <c r="K288" s="260"/>
      <c r="L288" s="260">
        <v>600</v>
      </c>
      <c r="M288" s="169">
        <f>L288-J288</f>
        <v>0</v>
      </c>
      <c r="N288" s="198"/>
      <c r="P288" s="219"/>
    </row>
    <row r="289" spans="1:16" s="197" customFormat="1" ht="12.95" customHeight="1">
      <c r="A289" s="196" t="s">
        <v>710</v>
      </c>
      <c r="B289" s="197" t="s">
        <v>711</v>
      </c>
      <c r="C289" s="219"/>
      <c r="D289" s="219">
        <v>3480</v>
      </c>
      <c r="E289" s="219">
        <v>2250</v>
      </c>
      <c r="F289" s="219"/>
      <c r="G289" s="219">
        <v>2150</v>
      </c>
      <c r="H289" s="260"/>
      <c r="I289" s="490">
        <v>2500</v>
      </c>
      <c r="J289" s="260">
        <v>2500</v>
      </c>
      <c r="K289" s="260"/>
      <c r="L289" s="260">
        <v>2500</v>
      </c>
      <c r="M289" s="169">
        <f t="shared" si="50"/>
        <v>0</v>
      </c>
      <c r="N289" s="198"/>
      <c r="P289" s="219"/>
    </row>
    <row r="290" spans="1:16" s="197" customFormat="1" ht="12.95" customHeight="1">
      <c r="A290" s="196" t="s">
        <v>708</v>
      </c>
      <c r="B290" s="197" t="s">
        <v>709</v>
      </c>
      <c r="C290" s="219">
        <v>770</v>
      </c>
      <c r="D290" s="219"/>
      <c r="E290" s="219">
        <v>37.5</v>
      </c>
      <c r="F290" s="219"/>
      <c r="G290" s="219">
        <v>175.53</v>
      </c>
      <c r="H290" s="260"/>
      <c r="I290" s="490">
        <v>150</v>
      </c>
      <c r="J290" s="260">
        <v>150</v>
      </c>
      <c r="K290" s="260"/>
      <c r="L290" s="260">
        <v>150</v>
      </c>
      <c r="M290" s="169">
        <f t="shared" si="50"/>
        <v>0</v>
      </c>
      <c r="N290" s="198"/>
      <c r="P290" s="219"/>
    </row>
    <row r="291" spans="1:16" s="197" customFormat="1" ht="12.95" customHeight="1">
      <c r="A291" s="196" t="s">
        <v>712</v>
      </c>
      <c r="B291" s="197" t="s">
        <v>713</v>
      </c>
      <c r="C291" s="219">
        <v>2131.02</v>
      </c>
      <c r="D291" s="219">
        <v>1678.31</v>
      </c>
      <c r="E291" s="219">
        <v>2084.46</v>
      </c>
      <c r="F291" s="219"/>
      <c r="G291" s="219">
        <v>2656.2</v>
      </c>
      <c r="H291" s="260"/>
      <c r="I291" s="490">
        <v>2400</v>
      </c>
      <c r="J291" s="260">
        <v>2400</v>
      </c>
      <c r="K291" s="260"/>
      <c r="L291" s="260">
        <v>2400</v>
      </c>
      <c r="M291" s="169">
        <f t="shared" si="50"/>
        <v>0</v>
      </c>
      <c r="N291" s="198"/>
      <c r="P291" s="219"/>
    </row>
    <row r="292" spans="1:16" s="197" customFormat="1" ht="12.95" customHeight="1">
      <c r="A292" s="196" t="s">
        <v>981</v>
      </c>
      <c r="B292" s="197" t="s">
        <v>982</v>
      </c>
      <c r="C292" s="219"/>
      <c r="D292" s="219"/>
      <c r="E292" s="219">
        <v>505.09</v>
      </c>
      <c r="F292" s="219"/>
      <c r="G292" s="219">
        <v>570.29999999999995</v>
      </c>
      <c r="H292" s="260"/>
      <c r="I292" s="490">
        <v>600</v>
      </c>
      <c r="J292" s="260">
        <v>600</v>
      </c>
      <c r="K292" s="260"/>
      <c r="L292" s="260">
        <v>600</v>
      </c>
      <c r="M292" s="169">
        <f t="shared" si="50"/>
        <v>0</v>
      </c>
      <c r="N292" s="198"/>
      <c r="P292" s="219"/>
    </row>
    <row r="293" spans="1:16" s="197" customFormat="1" ht="12.95" customHeight="1">
      <c r="A293" s="196" t="s">
        <v>716</v>
      </c>
      <c r="B293" s="197" t="s">
        <v>717</v>
      </c>
      <c r="C293" s="219">
        <v>2535.69</v>
      </c>
      <c r="D293" s="219">
        <v>2716.98</v>
      </c>
      <c r="E293" s="219">
        <v>3270</v>
      </c>
      <c r="F293" s="219"/>
      <c r="G293" s="219">
        <v>3159</v>
      </c>
      <c r="H293" s="260"/>
      <c r="I293" s="490">
        <v>3159</v>
      </c>
      <c r="J293" s="260">
        <v>3159</v>
      </c>
      <c r="K293" s="260"/>
      <c r="L293" s="260">
        <v>3190</v>
      </c>
      <c r="M293" s="169">
        <f t="shared" si="50"/>
        <v>31</v>
      </c>
      <c r="N293" s="198"/>
      <c r="P293" s="219"/>
    </row>
    <row r="294" spans="1:16" s="197" customFormat="1" ht="12.95" customHeight="1">
      <c r="A294" s="196" t="s">
        <v>723</v>
      </c>
      <c r="B294" s="197" t="s">
        <v>724</v>
      </c>
      <c r="C294" s="219"/>
      <c r="D294" s="219">
        <v>1190.45</v>
      </c>
      <c r="E294" s="219"/>
      <c r="F294" s="219"/>
      <c r="G294" s="219">
        <v>1089.72</v>
      </c>
      <c r="H294" s="260"/>
      <c r="I294" s="490">
        <v>1500</v>
      </c>
      <c r="J294" s="260">
        <v>1500</v>
      </c>
      <c r="K294" s="260"/>
      <c r="L294" s="260">
        <v>1500</v>
      </c>
      <c r="M294" s="169">
        <f>L294-J294</f>
        <v>0</v>
      </c>
      <c r="N294" s="198"/>
      <c r="P294" s="219"/>
    </row>
    <row r="295" spans="1:16" s="197" customFormat="1" ht="12.95" customHeight="1">
      <c r="A295" s="196" t="s">
        <v>714</v>
      </c>
      <c r="B295" s="197" t="s">
        <v>715</v>
      </c>
      <c r="C295" s="219">
        <v>12069.26</v>
      </c>
      <c r="D295" s="219">
        <v>6543.68</v>
      </c>
      <c r="E295" s="219">
        <v>11665.05</v>
      </c>
      <c r="F295" s="219"/>
      <c r="G295" s="219">
        <v>10456.02</v>
      </c>
      <c r="H295" s="260"/>
      <c r="I295" s="490">
        <v>12000</v>
      </c>
      <c r="J295" s="260">
        <v>12000</v>
      </c>
      <c r="K295" s="260"/>
      <c r="L295" s="260">
        <v>16000</v>
      </c>
      <c r="M295" s="169">
        <f t="shared" si="50"/>
        <v>4000</v>
      </c>
      <c r="N295" s="198"/>
      <c r="P295" s="219"/>
    </row>
    <row r="296" spans="1:16" s="197" customFormat="1" ht="15.75" customHeight="1">
      <c r="A296" s="196" t="s">
        <v>726</v>
      </c>
      <c r="B296" s="197" t="s">
        <v>727</v>
      </c>
      <c r="C296" s="219">
        <v>28530.34</v>
      </c>
      <c r="D296" s="219">
        <v>47830.7</v>
      </c>
      <c r="E296" s="219">
        <v>52239.57</v>
      </c>
      <c r="F296" s="219"/>
      <c r="G296" s="219">
        <v>65604</v>
      </c>
      <c r="H296" s="260"/>
      <c r="I296" s="490">
        <v>65604</v>
      </c>
      <c r="J296" s="260">
        <v>65604</v>
      </c>
      <c r="K296" s="260"/>
      <c r="L296" s="260">
        <v>58336</v>
      </c>
      <c r="M296" s="169">
        <f>L296-J296</f>
        <v>-7268</v>
      </c>
      <c r="N296" s="217" t="s">
        <v>728</v>
      </c>
      <c r="P296" s="219"/>
    </row>
    <row r="297" spans="1:16" s="197" customFormat="1" ht="12.95" customHeight="1">
      <c r="A297" s="196" t="s">
        <v>719</v>
      </c>
      <c r="B297" s="197" t="s">
        <v>720</v>
      </c>
      <c r="C297" s="219">
        <v>13978.99</v>
      </c>
      <c r="D297" s="219">
        <v>14820.56</v>
      </c>
      <c r="E297" s="219">
        <v>11914.73</v>
      </c>
      <c r="F297" s="219"/>
      <c r="G297" s="219">
        <v>8375.9599999999991</v>
      </c>
      <c r="H297" s="260"/>
      <c r="I297" s="490">
        <v>13500</v>
      </c>
      <c r="J297" s="260">
        <v>13500</v>
      </c>
      <c r="K297" s="260"/>
      <c r="L297" s="260">
        <v>20000</v>
      </c>
      <c r="M297" s="169">
        <f t="shared" si="50"/>
        <v>6500</v>
      </c>
      <c r="N297" s="198"/>
      <c r="P297" s="219"/>
    </row>
    <row r="298" spans="1:16" s="197" customFormat="1" ht="12.95" customHeight="1">
      <c r="A298" s="196" t="s">
        <v>721</v>
      </c>
      <c r="B298" s="197" t="s">
        <v>722</v>
      </c>
      <c r="C298" s="219"/>
      <c r="D298" s="219"/>
      <c r="E298" s="219"/>
      <c r="F298" s="219"/>
      <c r="G298" s="219">
        <v>329.22</v>
      </c>
      <c r="H298" s="260"/>
      <c r="I298" s="490">
        <v>700</v>
      </c>
      <c r="J298" s="260">
        <v>700</v>
      </c>
      <c r="K298" s="260"/>
      <c r="L298" s="260">
        <v>700</v>
      </c>
      <c r="M298" s="169">
        <f t="shared" si="50"/>
        <v>0</v>
      </c>
      <c r="N298" s="198"/>
      <c r="P298" s="219"/>
    </row>
    <row r="299" spans="1:16" s="197" customFormat="1" ht="12.95" customHeight="1">
      <c r="A299" s="196" t="s">
        <v>718</v>
      </c>
      <c r="B299" s="197" t="s">
        <v>618</v>
      </c>
      <c r="C299" s="219"/>
      <c r="D299" s="219">
        <v>14.79</v>
      </c>
      <c r="E299" s="219">
        <v>226.17</v>
      </c>
      <c r="F299" s="219"/>
      <c r="G299" s="219">
        <v>510.73</v>
      </c>
      <c r="H299" s="260"/>
      <c r="I299" s="490">
        <v>500</v>
      </c>
      <c r="J299" s="260">
        <v>500</v>
      </c>
      <c r="K299" s="260"/>
      <c r="L299" s="260">
        <v>500</v>
      </c>
      <c r="M299" s="169">
        <f t="shared" si="50"/>
        <v>0</v>
      </c>
      <c r="N299" s="198"/>
      <c r="P299" s="219"/>
    </row>
    <row r="300" spans="1:16" s="197" customFormat="1" ht="12.95" customHeight="1">
      <c r="A300" s="196" t="s">
        <v>725</v>
      </c>
      <c r="B300" s="197" t="s">
        <v>533</v>
      </c>
      <c r="C300" s="219">
        <v>18.27</v>
      </c>
      <c r="D300" s="219">
        <v>65</v>
      </c>
      <c r="E300" s="219"/>
      <c r="F300" s="219"/>
      <c r="G300" s="219">
        <v>70</v>
      </c>
      <c r="H300" s="260"/>
      <c r="I300" s="490">
        <v>100</v>
      </c>
      <c r="J300" s="260">
        <v>100</v>
      </c>
      <c r="K300" s="260"/>
      <c r="L300" s="260">
        <v>100</v>
      </c>
      <c r="M300" s="169">
        <f t="shared" si="50"/>
        <v>0</v>
      </c>
      <c r="N300" s="198"/>
      <c r="P300" s="219"/>
    </row>
    <row r="301" spans="1:16" s="197" customFormat="1" ht="12.95" customHeight="1">
      <c r="A301" s="196" t="s">
        <v>729</v>
      </c>
      <c r="B301" s="197" t="s">
        <v>630</v>
      </c>
      <c r="C301" s="219">
        <v>330.63</v>
      </c>
      <c r="D301" s="219">
        <v>173.97</v>
      </c>
      <c r="E301" s="219">
        <v>71.23</v>
      </c>
      <c r="F301" s="219"/>
      <c r="G301" s="219">
        <v>10</v>
      </c>
      <c r="H301" s="260"/>
      <c r="I301" s="490">
        <v>200</v>
      </c>
      <c r="J301" s="260">
        <v>200</v>
      </c>
      <c r="K301" s="260"/>
      <c r="L301" s="260">
        <v>200</v>
      </c>
      <c r="M301" s="169">
        <f t="shared" si="50"/>
        <v>0</v>
      </c>
      <c r="N301" s="198"/>
      <c r="P301" s="219"/>
    </row>
    <row r="302" spans="1:16">
      <c r="A302" s="170"/>
    </row>
    <row r="303" spans="1:16" s="167" customFormat="1">
      <c r="A303" s="176" t="s">
        <v>2</v>
      </c>
      <c r="B303" s="167" t="s">
        <v>19</v>
      </c>
      <c r="C303" s="174">
        <f>SUM(C276:C302)</f>
        <v>162105.34</v>
      </c>
      <c r="D303" s="221">
        <f>SUM(D275:D302)</f>
        <v>170820.32999999996</v>
      </c>
      <c r="E303" s="221">
        <f>SUM(E275:E302)</f>
        <v>221501.36000000004</v>
      </c>
      <c r="F303" s="221"/>
      <c r="G303" s="221">
        <f>SUM(G275:G302)</f>
        <v>195490.38</v>
      </c>
      <c r="H303" s="174"/>
      <c r="I303" s="494">
        <f>SUM(I275:I302)</f>
        <v>231535.22266</v>
      </c>
      <c r="J303" s="174">
        <f>SUM(J275:J302)</f>
        <v>232383.63040000002</v>
      </c>
      <c r="K303" s="174"/>
      <c r="L303" s="174">
        <f>SUM(L275:L302)</f>
        <v>237667.55328000002</v>
      </c>
      <c r="M303" s="174">
        <f>SUM(M275:M302)</f>
        <v>5283.9228800000028</v>
      </c>
      <c r="P303" s="229"/>
    </row>
    <row r="304" spans="1:16">
      <c r="A304" s="170"/>
    </row>
    <row r="305" spans="1:16" s="197" customFormat="1" ht="12.95" customHeight="1">
      <c r="A305" s="196" t="s">
        <v>733</v>
      </c>
      <c r="B305" s="197" t="s">
        <v>734</v>
      </c>
      <c r="C305" s="219">
        <v>46212.2</v>
      </c>
      <c r="D305" s="219">
        <v>37051.51</v>
      </c>
      <c r="E305" s="219">
        <v>32278.38</v>
      </c>
      <c r="F305" s="219"/>
      <c r="G305" s="219">
        <v>33926.080000000002</v>
      </c>
      <c r="H305" s="260"/>
      <c r="I305" s="490">
        <v>33800</v>
      </c>
      <c r="J305" s="260">
        <v>67600</v>
      </c>
      <c r="K305" s="260"/>
      <c r="L305" s="260">
        <v>0</v>
      </c>
      <c r="M305" s="169">
        <f t="shared" ref="M305:M320" si="51">L305-J305</f>
        <v>-67600</v>
      </c>
      <c r="N305" s="198" t="s">
        <v>825</v>
      </c>
      <c r="P305" s="219"/>
    </row>
    <row r="306" spans="1:16" s="197" customFormat="1" ht="12.95" customHeight="1">
      <c r="A306" s="196" t="s">
        <v>1423</v>
      </c>
      <c r="B306" s="197" t="s">
        <v>1426</v>
      </c>
      <c r="C306" s="219"/>
      <c r="D306" s="219"/>
      <c r="E306" s="219"/>
      <c r="F306" s="219"/>
      <c r="G306" s="219"/>
      <c r="H306" s="260"/>
      <c r="I306" s="490"/>
      <c r="J306" s="260"/>
      <c r="K306" s="260"/>
      <c r="L306" s="260">
        <v>3000</v>
      </c>
      <c r="M306" s="169">
        <f t="shared" si="51"/>
        <v>3000</v>
      </c>
      <c r="N306" s="198"/>
      <c r="P306" s="219"/>
    </row>
    <row r="307" spans="1:16" s="197" customFormat="1" ht="12.95" customHeight="1">
      <c r="A307" s="196" t="s">
        <v>1424</v>
      </c>
      <c r="B307" s="197" t="s">
        <v>1425</v>
      </c>
      <c r="C307" s="219"/>
      <c r="D307" s="219"/>
      <c r="E307" s="219"/>
      <c r="F307" s="219"/>
      <c r="G307" s="219"/>
      <c r="H307" s="260"/>
      <c r="I307" s="490"/>
      <c r="J307" s="260"/>
      <c r="K307" s="260"/>
      <c r="L307" s="260">
        <v>4780</v>
      </c>
      <c r="M307" s="169">
        <f t="shared" si="51"/>
        <v>4780</v>
      </c>
      <c r="N307" s="198"/>
      <c r="P307" s="219"/>
    </row>
    <row r="308" spans="1:16" s="197" customFormat="1" ht="12.95" customHeight="1">
      <c r="A308" s="196" t="s">
        <v>735</v>
      </c>
      <c r="B308" s="197" t="s">
        <v>736</v>
      </c>
      <c r="C308" s="219">
        <v>3905.24</v>
      </c>
      <c r="D308" s="219">
        <v>3896.32</v>
      </c>
      <c r="E308" s="219">
        <v>3732.15</v>
      </c>
      <c r="F308" s="219"/>
      <c r="G308" s="219">
        <v>3936.78</v>
      </c>
      <c r="H308" s="260"/>
      <c r="I308" s="490">
        <v>3910</v>
      </c>
      <c r="J308" s="260">
        <v>8095</v>
      </c>
      <c r="K308" s="260"/>
      <c r="L308" s="260">
        <v>0</v>
      </c>
      <c r="M308" s="169">
        <f t="shared" si="51"/>
        <v>-8095</v>
      </c>
      <c r="N308" s="198" t="s">
        <v>826</v>
      </c>
      <c r="P308" s="219"/>
    </row>
    <row r="309" spans="1:16" s="197" customFormat="1" ht="12.95" customHeight="1">
      <c r="A309" s="196" t="s">
        <v>737</v>
      </c>
      <c r="B309" s="197" t="s">
        <v>738</v>
      </c>
      <c r="C309" s="219">
        <v>16673.77</v>
      </c>
      <c r="D309" s="219">
        <v>15725.24</v>
      </c>
      <c r="E309" s="398">
        <v>13041.56</v>
      </c>
      <c r="F309" s="398"/>
      <c r="G309" s="398">
        <v>14621.61</v>
      </c>
      <c r="H309" s="288"/>
      <c r="I309" s="491">
        <f>SUM(I305)*I612+1145</f>
        <v>16111.640000000001</v>
      </c>
      <c r="J309" s="288">
        <f>SUM(J305)*J612+1145</f>
        <v>31078.280000000002</v>
      </c>
      <c r="K309" s="288"/>
      <c r="L309" s="288">
        <f>SUM(L305+L306)*L612+210</f>
        <v>1538.4</v>
      </c>
      <c r="M309" s="169">
        <f t="shared" si="51"/>
        <v>-29539.88</v>
      </c>
      <c r="N309" s="198"/>
      <c r="P309" s="219"/>
    </row>
    <row r="310" spans="1:16" s="197" customFormat="1" ht="12.95" customHeight="1">
      <c r="A310" s="196" t="s">
        <v>739</v>
      </c>
      <c r="B310" s="197" t="s">
        <v>740</v>
      </c>
      <c r="C310" s="219">
        <v>3234.23</v>
      </c>
      <c r="D310" s="219">
        <v>3607.73</v>
      </c>
      <c r="E310" s="398">
        <v>2352.7199999999998</v>
      </c>
      <c r="F310" s="398"/>
      <c r="G310" s="398">
        <v>2474.36</v>
      </c>
      <c r="H310" s="288"/>
      <c r="I310" s="491">
        <f>SUM(I305)*I613</f>
        <v>2585.6999999999998</v>
      </c>
      <c r="J310" s="288">
        <f>SUM(J305)*J613</f>
        <v>5171.3999999999996</v>
      </c>
      <c r="K310" s="288"/>
      <c r="L310" s="288">
        <f>SUM(L305+L306+L307)*L613</f>
        <v>595.16999999999996</v>
      </c>
      <c r="M310" s="169">
        <f t="shared" si="51"/>
        <v>-4576.2299999999996</v>
      </c>
      <c r="N310" s="198"/>
      <c r="P310" s="219"/>
    </row>
    <row r="311" spans="1:16" s="197" customFormat="1" ht="12.95" customHeight="1">
      <c r="A311" s="196" t="s">
        <v>901</v>
      </c>
      <c r="B311" s="197" t="s">
        <v>811</v>
      </c>
      <c r="C311" s="219"/>
      <c r="D311" s="219"/>
      <c r="E311" s="219">
        <v>13.66</v>
      </c>
      <c r="F311" s="219"/>
      <c r="G311" s="219">
        <v>31.53</v>
      </c>
      <c r="H311" s="260"/>
      <c r="I311" s="490">
        <v>36</v>
      </c>
      <c r="J311" s="260">
        <v>36</v>
      </c>
      <c r="K311" s="260"/>
      <c r="L311" s="260">
        <v>36</v>
      </c>
      <c r="M311" s="169">
        <f t="shared" si="51"/>
        <v>0</v>
      </c>
      <c r="N311" s="198"/>
      <c r="P311" s="219"/>
    </row>
    <row r="312" spans="1:16" s="197" customFormat="1" ht="12.95" customHeight="1">
      <c r="A312" s="196" t="s">
        <v>741</v>
      </c>
      <c r="B312" s="197" t="s">
        <v>742</v>
      </c>
      <c r="C312" s="219">
        <v>396</v>
      </c>
      <c r="D312" s="219">
        <v>968.75</v>
      </c>
      <c r="E312" s="219">
        <v>4480.3500000000004</v>
      </c>
      <c r="F312" s="219"/>
      <c r="G312" s="219">
        <v>4132.87</v>
      </c>
      <c r="H312" s="260"/>
      <c r="I312" s="490">
        <v>4500</v>
      </c>
      <c r="J312" s="260">
        <v>4500</v>
      </c>
      <c r="K312" s="260"/>
      <c r="L312" s="260">
        <v>40000</v>
      </c>
      <c r="M312" s="169">
        <f t="shared" si="51"/>
        <v>35500</v>
      </c>
      <c r="N312" s="198"/>
      <c r="P312" s="219"/>
    </row>
    <row r="313" spans="1:16" s="197" customFormat="1" ht="12.95" customHeight="1">
      <c r="A313" s="196" t="s">
        <v>983</v>
      </c>
      <c r="B313" s="197" t="s">
        <v>984</v>
      </c>
      <c r="C313" s="219"/>
      <c r="D313" s="219"/>
      <c r="E313" s="219">
        <v>29.79</v>
      </c>
      <c r="F313" s="219"/>
      <c r="G313" s="219">
        <v>0</v>
      </c>
      <c r="H313" s="260"/>
      <c r="I313" s="490">
        <v>50</v>
      </c>
      <c r="J313" s="260">
        <v>50</v>
      </c>
      <c r="K313" s="260"/>
      <c r="L313" s="260"/>
      <c r="M313" s="169">
        <f t="shared" si="51"/>
        <v>-50</v>
      </c>
      <c r="N313" s="198"/>
      <c r="P313" s="219"/>
    </row>
    <row r="314" spans="1:16" s="197" customFormat="1" ht="12.95" customHeight="1">
      <c r="A314" s="196" t="s">
        <v>1440</v>
      </c>
      <c r="B314" s="197" t="s">
        <v>1441</v>
      </c>
      <c r="C314" s="219"/>
      <c r="D314" s="219"/>
      <c r="E314" s="219"/>
      <c r="F314" s="219"/>
      <c r="G314" s="219"/>
      <c r="H314" s="260"/>
      <c r="I314" s="490"/>
      <c r="J314" s="260"/>
      <c r="K314" s="260"/>
      <c r="L314" s="260">
        <v>3000</v>
      </c>
      <c r="M314" s="169">
        <f t="shared" si="51"/>
        <v>3000</v>
      </c>
      <c r="N314" s="198"/>
      <c r="P314" s="219"/>
    </row>
    <row r="315" spans="1:16" s="197" customFormat="1" ht="12.95" customHeight="1">
      <c r="A315" s="196" t="s">
        <v>985</v>
      </c>
      <c r="B315" s="197" t="s">
        <v>986</v>
      </c>
      <c r="C315" s="219"/>
      <c r="D315" s="219"/>
      <c r="E315" s="219">
        <v>1152.3399999999999</v>
      </c>
      <c r="F315" s="219"/>
      <c r="G315" s="219">
        <v>1043.8900000000001</v>
      </c>
      <c r="H315" s="260"/>
      <c r="I315" s="490">
        <v>1200</v>
      </c>
      <c r="J315" s="260">
        <v>1200</v>
      </c>
      <c r="K315" s="260"/>
      <c r="L315" s="260">
        <v>1200</v>
      </c>
      <c r="M315" s="169">
        <f t="shared" si="51"/>
        <v>0</v>
      </c>
      <c r="N315" s="198"/>
      <c r="P315" s="219"/>
    </row>
    <row r="316" spans="1:16" s="197" customFormat="1" ht="12.95" customHeight="1">
      <c r="A316" s="196" t="s">
        <v>1495</v>
      </c>
      <c r="B316" s="197" t="s">
        <v>1452</v>
      </c>
      <c r="C316" s="219"/>
      <c r="D316" s="219"/>
      <c r="E316" s="219"/>
      <c r="F316" s="219"/>
      <c r="G316" s="219"/>
      <c r="H316" s="260"/>
      <c r="I316" s="490"/>
      <c r="J316" s="260"/>
      <c r="K316" s="260"/>
      <c r="L316" s="260">
        <v>500</v>
      </c>
      <c r="M316" s="169">
        <f t="shared" si="51"/>
        <v>500</v>
      </c>
      <c r="N316" s="198"/>
      <c r="P316" s="219"/>
    </row>
    <row r="317" spans="1:16" s="197" customFormat="1" ht="12.95" customHeight="1">
      <c r="A317" s="196" t="s">
        <v>743</v>
      </c>
      <c r="B317" s="197" t="s">
        <v>744</v>
      </c>
      <c r="C317" s="219">
        <v>3207.25</v>
      </c>
      <c r="D317" s="219">
        <v>3100.19</v>
      </c>
      <c r="E317" s="219">
        <v>2070.44</v>
      </c>
      <c r="F317" s="219"/>
      <c r="G317" s="219">
        <v>2880.12</v>
      </c>
      <c r="H317" s="260"/>
      <c r="I317" s="490">
        <v>3000</v>
      </c>
      <c r="J317" s="260">
        <v>3000</v>
      </c>
      <c r="K317" s="260"/>
      <c r="L317" s="260">
        <v>4000</v>
      </c>
      <c r="M317" s="169">
        <f t="shared" si="51"/>
        <v>1000</v>
      </c>
      <c r="N317" s="198"/>
      <c r="P317" s="219"/>
    </row>
    <row r="318" spans="1:16" s="197" customFormat="1" ht="12.95" customHeight="1">
      <c r="A318" s="196" t="s">
        <v>804</v>
      </c>
      <c r="B318" s="197" t="s">
        <v>805</v>
      </c>
      <c r="C318" s="219"/>
      <c r="D318" s="219"/>
      <c r="E318" s="219"/>
      <c r="F318" s="219"/>
      <c r="G318" s="219">
        <v>0</v>
      </c>
      <c r="H318" s="260"/>
      <c r="I318" s="490">
        <v>0</v>
      </c>
      <c r="J318" s="260">
        <v>0</v>
      </c>
      <c r="K318" s="260"/>
      <c r="L318" s="260">
        <v>0</v>
      </c>
      <c r="M318" s="169">
        <f t="shared" si="51"/>
        <v>0</v>
      </c>
      <c r="N318" s="198"/>
      <c r="P318" s="219"/>
    </row>
    <row r="319" spans="1:16" s="197" customFormat="1" ht="12.95" customHeight="1">
      <c r="A319" s="196" t="s">
        <v>806</v>
      </c>
      <c r="B319" s="197" t="s">
        <v>807</v>
      </c>
      <c r="C319" s="219"/>
      <c r="D319" s="219"/>
      <c r="E319" s="219"/>
      <c r="F319" s="219"/>
      <c r="G319" s="219">
        <v>0</v>
      </c>
      <c r="H319" s="260"/>
      <c r="I319" s="490">
        <v>0</v>
      </c>
      <c r="J319" s="260">
        <v>0</v>
      </c>
      <c r="K319" s="260"/>
      <c r="L319" s="260">
        <v>0</v>
      </c>
      <c r="M319" s="169">
        <f t="shared" si="51"/>
        <v>0</v>
      </c>
      <c r="N319" s="198"/>
      <c r="P319" s="219"/>
    </row>
    <row r="320" spans="1:16" s="197" customFormat="1" ht="12.95" customHeight="1">
      <c r="A320" s="196" t="s">
        <v>808</v>
      </c>
      <c r="B320" s="197" t="s">
        <v>809</v>
      </c>
      <c r="C320" s="219">
        <v>5305.6</v>
      </c>
      <c r="D320" s="219">
        <v>2593.56</v>
      </c>
      <c r="E320" s="219">
        <v>2606.19</v>
      </c>
      <c r="F320" s="219"/>
      <c r="G320" s="219">
        <v>2720.84</v>
      </c>
      <c r="H320" s="260"/>
      <c r="I320" s="490">
        <v>2725</v>
      </c>
      <c r="J320" s="260">
        <v>2725</v>
      </c>
      <c r="K320" s="260"/>
      <c r="L320" s="260">
        <v>4110</v>
      </c>
      <c r="M320" s="169">
        <f t="shared" si="51"/>
        <v>1385</v>
      </c>
      <c r="N320" s="198"/>
      <c r="P320" s="219"/>
    </row>
    <row r="321" spans="1:16" ht="12.95" customHeight="1">
      <c r="A321" s="170"/>
      <c r="E321" s="182" t="s">
        <v>873</v>
      </c>
      <c r="G321" s="182" t="s">
        <v>873</v>
      </c>
      <c r="I321" s="492" t="s">
        <v>873</v>
      </c>
      <c r="J321" s="168" t="s">
        <v>873</v>
      </c>
      <c r="L321" s="168" t="s">
        <v>873</v>
      </c>
    </row>
    <row r="322" spans="1:16" s="167" customFormat="1" ht="12.95" customHeight="1">
      <c r="A322" s="176">
        <v>284</v>
      </c>
      <c r="B322" s="167" t="s">
        <v>7</v>
      </c>
      <c r="C322" s="174">
        <f>SUM(C305:C321)</f>
        <v>78934.289999999994</v>
      </c>
      <c r="D322" s="221">
        <f>SUM(D305:D321)</f>
        <v>66943.3</v>
      </c>
      <c r="E322" s="221">
        <f>SUM(E305:E321)</f>
        <v>61757.58</v>
      </c>
      <c r="F322" s="221"/>
      <c r="G322" s="221">
        <f>SUM(G305:G321)</f>
        <v>65768.08</v>
      </c>
      <c r="H322" s="174"/>
      <c r="I322" s="494">
        <f>SUM(I305:I321)</f>
        <v>67918.34</v>
      </c>
      <c r="J322" s="174">
        <f>SUM(J305:J321)</f>
        <v>123455.67999999999</v>
      </c>
      <c r="K322" s="174"/>
      <c r="L322" s="174">
        <f>SUM(L305:L321)</f>
        <v>62759.57</v>
      </c>
      <c r="M322" s="174">
        <f>SUM(M305:M321)</f>
        <v>-60696.11</v>
      </c>
      <c r="P322" s="229"/>
    </row>
    <row r="323" spans="1:16" s="197" customFormat="1" ht="12.95" customHeight="1">
      <c r="A323" s="196"/>
      <c r="C323" s="219"/>
      <c r="D323" s="219"/>
      <c r="E323" s="219"/>
      <c r="F323" s="219"/>
      <c r="G323" s="219"/>
      <c r="H323" s="260"/>
      <c r="I323" s="490"/>
      <c r="J323" s="260"/>
      <c r="K323" s="260"/>
      <c r="L323" s="260"/>
      <c r="M323" s="169">
        <f t="shared" ref="M323:M325" si="52">L323-J323</f>
        <v>0</v>
      </c>
      <c r="N323" s="198" t="s">
        <v>825</v>
      </c>
      <c r="P323" s="219"/>
    </row>
    <row r="324" spans="1:16" s="197" customFormat="1" ht="12.95" customHeight="1">
      <c r="A324" s="196"/>
      <c r="C324" s="219"/>
      <c r="D324" s="219"/>
      <c r="E324" s="219"/>
      <c r="F324" s="219"/>
      <c r="G324" s="219"/>
      <c r="H324" s="260"/>
      <c r="I324" s="490"/>
      <c r="J324" s="260"/>
      <c r="K324" s="260"/>
      <c r="L324" s="260"/>
      <c r="M324" s="169">
        <f t="shared" si="52"/>
        <v>0</v>
      </c>
      <c r="N324" s="198"/>
      <c r="P324" s="219"/>
    </row>
    <row r="325" spans="1:16" s="197" customFormat="1" ht="12.95" customHeight="1">
      <c r="A325" s="196" t="s">
        <v>1442</v>
      </c>
      <c r="B325" s="197" t="s">
        <v>1443</v>
      </c>
      <c r="C325" s="219">
        <v>5305.6</v>
      </c>
      <c r="D325" s="219"/>
      <c r="E325" s="219"/>
      <c r="F325" s="219"/>
      <c r="G325" s="219"/>
      <c r="H325" s="260"/>
      <c r="I325" s="490">
        <v>2725</v>
      </c>
      <c r="J325" s="260"/>
      <c r="K325" s="260"/>
      <c r="L325" s="260">
        <v>425</v>
      </c>
      <c r="M325" s="169">
        <f t="shared" si="52"/>
        <v>425</v>
      </c>
      <c r="N325" s="198"/>
      <c r="P325" s="219"/>
    </row>
    <row r="326" spans="1:16" ht="12.95" customHeight="1">
      <c r="A326" s="170"/>
      <c r="E326" s="182" t="s">
        <v>873</v>
      </c>
      <c r="G326" s="182" t="s">
        <v>873</v>
      </c>
      <c r="I326" s="492" t="s">
        <v>873</v>
      </c>
      <c r="J326" s="168" t="s">
        <v>873</v>
      </c>
      <c r="L326" s="168" t="s">
        <v>873</v>
      </c>
    </row>
    <row r="327" spans="1:16" s="167" customFormat="1" ht="12.95" customHeight="1">
      <c r="A327" s="176">
        <v>221</v>
      </c>
      <c r="B327" s="167" t="s">
        <v>1478</v>
      </c>
      <c r="C327" s="174">
        <f>SUM(C323:C326)</f>
        <v>5305.6</v>
      </c>
      <c r="D327" s="221">
        <f>SUM(D323:D326)</f>
        <v>0</v>
      </c>
      <c r="E327" s="221">
        <f>SUM(E323:E326)</f>
        <v>0</v>
      </c>
      <c r="F327" s="221"/>
      <c r="G327" s="221">
        <f>SUM(G323:G326)</f>
        <v>0</v>
      </c>
      <c r="H327" s="174"/>
      <c r="I327" s="494">
        <f>SUM(I323:I326)</f>
        <v>2725</v>
      </c>
      <c r="J327" s="174">
        <f>SUM(J323:J326)</f>
        <v>0</v>
      </c>
      <c r="K327" s="174"/>
      <c r="L327" s="174">
        <f>SUM(L323:L326)</f>
        <v>425</v>
      </c>
      <c r="M327" s="174">
        <f>SUM(M323:M326)</f>
        <v>425</v>
      </c>
      <c r="P327" s="229"/>
    </row>
    <row r="328" spans="1:16">
      <c r="A328" s="170"/>
    </row>
    <row r="329" spans="1:16" s="197" customFormat="1" ht="12.95" customHeight="1">
      <c r="A329" s="196" t="s">
        <v>745</v>
      </c>
      <c r="B329" s="197" t="s">
        <v>746</v>
      </c>
      <c r="C329" s="219">
        <v>12000</v>
      </c>
      <c r="D329" s="219">
        <v>12000</v>
      </c>
      <c r="E329" s="219">
        <v>12000</v>
      </c>
      <c r="F329" s="219"/>
      <c r="G329" s="219">
        <v>11999.99</v>
      </c>
      <c r="H329" s="260"/>
      <c r="I329" s="490">
        <v>12000</v>
      </c>
      <c r="J329" s="260">
        <v>12000</v>
      </c>
      <c r="K329" s="260"/>
      <c r="L329" s="260">
        <v>12000</v>
      </c>
      <c r="M329" s="169">
        <f t="shared" ref="M329:M356" si="53">L329-J329</f>
        <v>0</v>
      </c>
      <c r="N329" s="198"/>
      <c r="P329" s="219"/>
    </row>
    <row r="330" spans="1:16" s="197" customFormat="1" ht="12.95" customHeight="1">
      <c r="A330" s="196" t="s">
        <v>1181</v>
      </c>
      <c r="B330" s="197" t="s">
        <v>896</v>
      </c>
      <c r="C330" s="219"/>
      <c r="D330" s="219">
        <v>3740.1</v>
      </c>
      <c r="E330" s="398">
        <v>5392.29</v>
      </c>
      <c r="F330" s="398"/>
      <c r="G330" s="398">
        <v>5341.25</v>
      </c>
      <c r="H330" s="288"/>
      <c r="I330" s="491">
        <f>SUM(I329)*I612+300</f>
        <v>5613.6</v>
      </c>
      <c r="J330" s="288">
        <f>SUM(J329)*J612+300</f>
        <v>5613.6</v>
      </c>
      <c r="K330" s="288"/>
      <c r="L330" s="288">
        <f>SUM(L329)*L612+525</f>
        <v>5838.6</v>
      </c>
      <c r="M330" s="169">
        <f t="shared" si="53"/>
        <v>225</v>
      </c>
      <c r="N330" s="198"/>
      <c r="P330" s="219"/>
    </row>
    <row r="331" spans="1:16" s="197" customFormat="1" ht="12.95" customHeight="1">
      <c r="A331" s="196" t="s">
        <v>1044</v>
      </c>
      <c r="B331" s="197" t="s">
        <v>747</v>
      </c>
      <c r="C331" s="219"/>
      <c r="D331" s="219"/>
      <c r="E331" s="398">
        <v>908.82</v>
      </c>
      <c r="F331" s="398"/>
      <c r="G331" s="398">
        <v>908.82</v>
      </c>
      <c r="H331" s="288"/>
      <c r="I331" s="491">
        <f>SUM(I329)*I613</f>
        <v>918</v>
      </c>
      <c r="J331" s="288">
        <f>SUM(J329)*J613</f>
        <v>918</v>
      </c>
      <c r="K331" s="288"/>
      <c r="L331" s="288">
        <f>SUM(L329)*L613</f>
        <v>918</v>
      </c>
      <c r="M331" s="169">
        <f t="shared" si="53"/>
        <v>0</v>
      </c>
      <c r="N331" s="198"/>
      <c r="P331" s="219"/>
    </row>
    <row r="332" spans="1:16" s="197" customFormat="1" ht="12.95" customHeight="1">
      <c r="A332" s="196" t="s">
        <v>754</v>
      </c>
      <c r="B332" s="197" t="s">
        <v>755</v>
      </c>
      <c r="C332" s="219">
        <v>5943</v>
      </c>
      <c r="D332" s="219">
        <v>5513</v>
      </c>
      <c r="E332" s="219">
        <v>4913</v>
      </c>
      <c r="F332" s="219"/>
      <c r="G332" s="219">
        <v>3252</v>
      </c>
      <c r="H332" s="260"/>
      <c r="I332" s="490">
        <v>6000</v>
      </c>
      <c r="J332" s="260">
        <v>6000</v>
      </c>
      <c r="K332" s="260"/>
      <c r="L332" s="260">
        <v>6000</v>
      </c>
      <c r="M332" s="169">
        <f t="shared" si="53"/>
        <v>0</v>
      </c>
      <c r="N332" s="198"/>
      <c r="P332" s="219"/>
    </row>
    <row r="333" spans="1:16" s="197" customFormat="1" ht="12.95" customHeight="1">
      <c r="A333" s="196" t="s">
        <v>750</v>
      </c>
      <c r="B333" s="197" t="s">
        <v>751</v>
      </c>
      <c r="C333" s="219">
        <v>13387.37</v>
      </c>
      <c r="D333" s="219">
        <v>5519.89</v>
      </c>
      <c r="E333" s="398">
        <v>1972.92</v>
      </c>
      <c r="F333" s="398"/>
      <c r="G333" s="398">
        <v>1421.3</v>
      </c>
      <c r="H333" s="288"/>
      <c r="I333" s="491">
        <f>SUM(I332)*I612+300</f>
        <v>2956.8</v>
      </c>
      <c r="J333" s="288">
        <f>SUM(J332)*J612+300</f>
        <v>2956.8</v>
      </c>
      <c r="K333" s="288"/>
      <c r="L333" s="288">
        <f>SUM(L332)*L612+300</f>
        <v>2956.8</v>
      </c>
      <c r="M333" s="169">
        <f t="shared" si="53"/>
        <v>0</v>
      </c>
      <c r="N333" s="198"/>
      <c r="P333" s="219"/>
    </row>
    <row r="334" spans="1:16" s="197" customFormat="1" ht="12.95" customHeight="1">
      <c r="A334" s="196" t="s">
        <v>752</v>
      </c>
      <c r="B334" s="197" t="s">
        <v>753</v>
      </c>
      <c r="C334" s="219">
        <v>1349.83</v>
      </c>
      <c r="D334" s="219">
        <v>1323.64</v>
      </c>
      <c r="E334" s="398">
        <v>368.41</v>
      </c>
      <c r="F334" s="398"/>
      <c r="G334" s="398">
        <v>245.52</v>
      </c>
      <c r="H334" s="288"/>
      <c r="I334" s="491">
        <f>SUM(I332)*I613</f>
        <v>459</v>
      </c>
      <c r="J334" s="288">
        <f>SUM(J332)*J613</f>
        <v>459</v>
      </c>
      <c r="K334" s="288"/>
      <c r="L334" s="288">
        <f>SUM(L332)*L613</f>
        <v>459</v>
      </c>
      <c r="M334" s="169">
        <f t="shared" si="53"/>
        <v>0</v>
      </c>
      <c r="N334" s="198"/>
      <c r="P334" s="219"/>
    </row>
    <row r="335" spans="1:16" s="197" customFormat="1" ht="12.95" customHeight="1">
      <c r="A335" s="196" t="s">
        <v>782</v>
      </c>
      <c r="B335" s="197" t="s">
        <v>1200</v>
      </c>
      <c r="C335" s="219">
        <v>46316.08</v>
      </c>
      <c r="D335" s="219">
        <v>42083.56</v>
      </c>
      <c r="E335" s="219">
        <v>40726.339999999997</v>
      </c>
      <c r="F335" s="219"/>
      <c r="G335" s="219">
        <v>42121.7</v>
      </c>
      <c r="H335" s="260"/>
      <c r="I335" s="490">
        <v>44255</v>
      </c>
      <c r="J335" s="260">
        <v>43812</v>
      </c>
      <c r="K335" s="260"/>
      <c r="L335" s="260">
        <v>49132</v>
      </c>
      <c r="M335" s="169">
        <f t="shared" si="53"/>
        <v>5320</v>
      </c>
      <c r="N335" s="198"/>
      <c r="P335" s="219"/>
    </row>
    <row r="336" spans="1:16" s="197" customFormat="1" ht="12.95" customHeight="1">
      <c r="A336" s="196" t="s">
        <v>1182</v>
      </c>
      <c r="B336" s="197" t="s">
        <v>1201</v>
      </c>
      <c r="C336" s="219">
        <v>12548.21</v>
      </c>
      <c r="D336" s="219">
        <v>12180</v>
      </c>
      <c r="E336" s="398">
        <v>17853.27</v>
      </c>
      <c r="F336" s="398"/>
      <c r="G336" s="398">
        <v>18120.39</v>
      </c>
      <c r="H336" s="288"/>
      <c r="I336" s="491">
        <f>SUM(I335)*I612+1593</f>
        <v>21189.114000000001</v>
      </c>
      <c r="J336" s="288">
        <f>SUM(J335)*J612+1593</f>
        <v>20992.953600000001</v>
      </c>
      <c r="K336" s="288"/>
      <c r="L336" s="288">
        <f>SUM(L335)*L612+2100</f>
        <v>23855.649600000001</v>
      </c>
      <c r="M336" s="169">
        <f t="shared" si="53"/>
        <v>2862.6959999999999</v>
      </c>
      <c r="N336" s="198"/>
      <c r="P336" s="219"/>
    </row>
    <row r="337" spans="1:16" s="197" customFormat="1" ht="12.95" customHeight="1">
      <c r="A337" s="196" t="s">
        <v>771</v>
      </c>
      <c r="B337" s="197" t="s">
        <v>1202</v>
      </c>
      <c r="C337" s="219">
        <v>3427.83</v>
      </c>
      <c r="D337" s="219">
        <v>3085.82</v>
      </c>
      <c r="E337" s="398">
        <v>3077.93</v>
      </c>
      <c r="F337" s="398"/>
      <c r="G337" s="398">
        <v>3174.62</v>
      </c>
      <c r="H337" s="288"/>
      <c r="I337" s="491">
        <f>I335*I613</f>
        <v>3385.5074999999997</v>
      </c>
      <c r="J337" s="288">
        <f>J335*J613</f>
        <v>3351.6179999999999</v>
      </c>
      <c r="K337" s="288"/>
      <c r="L337" s="288">
        <f>L335*L613</f>
        <v>3758.598</v>
      </c>
      <c r="M337" s="169">
        <f t="shared" si="53"/>
        <v>406.98</v>
      </c>
      <c r="N337" s="198"/>
      <c r="P337" s="219"/>
    </row>
    <row r="338" spans="1:16" s="197" customFormat="1" ht="12.95" customHeight="1">
      <c r="A338" s="196" t="s">
        <v>748</v>
      </c>
      <c r="B338" s="197" t="s">
        <v>749</v>
      </c>
      <c r="C338" s="219">
        <v>595</v>
      </c>
      <c r="D338" s="219">
        <v>160</v>
      </c>
      <c r="E338" s="219">
        <v>545</v>
      </c>
      <c r="F338" s="219"/>
      <c r="G338" s="219">
        <v>460</v>
      </c>
      <c r="H338" s="260"/>
      <c r="I338" s="490">
        <v>900</v>
      </c>
      <c r="J338" s="260">
        <v>900</v>
      </c>
      <c r="K338" s="260"/>
      <c r="L338" s="260">
        <v>900</v>
      </c>
      <c r="M338" s="169">
        <f t="shared" si="53"/>
        <v>0</v>
      </c>
      <c r="N338" s="198"/>
      <c r="P338" s="219"/>
    </row>
    <row r="339" spans="1:16" s="197" customFormat="1" ht="12.95" customHeight="1">
      <c r="A339" s="196" t="s">
        <v>1410</v>
      </c>
      <c r="B339" s="197" t="s">
        <v>1411</v>
      </c>
      <c r="C339" s="219"/>
      <c r="D339" s="219"/>
      <c r="E339" s="219"/>
      <c r="F339" s="219"/>
      <c r="G339" s="219">
        <v>87.19</v>
      </c>
      <c r="H339" s="260"/>
      <c r="I339" s="490"/>
      <c r="J339" s="260"/>
      <c r="K339" s="260"/>
      <c r="L339" s="260">
        <f>L338*L613</f>
        <v>68.849999999999994</v>
      </c>
      <c r="M339" s="169">
        <f t="shared" si="53"/>
        <v>68.849999999999994</v>
      </c>
      <c r="N339" s="198"/>
      <c r="P339" s="219"/>
    </row>
    <row r="340" spans="1:16" s="197" customFormat="1" ht="12.95" customHeight="1">
      <c r="A340" s="196" t="s">
        <v>1413</v>
      </c>
      <c r="B340" s="197" t="s">
        <v>1412</v>
      </c>
      <c r="C340" s="219"/>
      <c r="D340" s="219"/>
      <c r="E340" s="219"/>
      <c r="F340" s="219"/>
      <c r="G340" s="219">
        <v>15.07</v>
      </c>
      <c r="H340" s="260"/>
      <c r="I340" s="490"/>
      <c r="J340" s="260"/>
      <c r="K340" s="260"/>
      <c r="L340" s="260">
        <f>L3343*L613</f>
        <v>0</v>
      </c>
      <c r="M340" s="169">
        <f t="shared" si="53"/>
        <v>0</v>
      </c>
      <c r="N340" s="198"/>
      <c r="P340" s="219"/>
    </row>
    <row r="341" spans="1:16" s="197" customFormat="1" ht="12.95" customHeight="1">
      <c r="A341" s="196" t="s">
        <v>1333</v>
      </c>
      <c r="B341" s="197" t="s">
        <v>1204</v>
      </c>
      <c r="C341" s="219"/>
      <c r="D341" s="219"/>
      <c r="E341" s="219">
        <v>301.37</v>
      </c>
      <c r="F341" s="219"/>
      <c r="G341" s="219">
        <v>149.09</v>
      </c>
      <c r="H341" s="260"/>
      <c r="I341" s="490">
        <v>170</v>
      </c>
      <c r="J341" s="260">
        <v>170</v>
      </c>
      <c r="K341" s="260"/>
      <c r="L341" s="260">
        <v>170</v>
      </c>
      <c r="M341" s="169">
        <f t="shared" si="53"/>
        <v>0</v>
      </c>
      <c r="N341" s="198"/>
      <c r="P341" s="219"/>
    </row>
    <row r="342" spans="1:16" s="197" customFormat="1" ht="12.95" customHeight="1">
      <c r="A342" s="196" t="s">
        <v>1427</v>
      </c>
      <c r="B342" s="197" t="s">
        <v>1428</v>
      </c>
      <c r="C342" s="219"/>
      <c r="D342" s="219"/>
      <c r="E342" s="219"/>
      <c r="F342" s="219"/>
      <c r="G342" s="219"/>
      <c r="H342" s="260"/>
      <c r="I342" s="490"/>
      <c r="J342" s="260"/>
      <c r="K342" s="260"/>
      <c r="L342" s="260">
        <v>1250</v>
      </c>
      <c r="M342" s="169">
        <f t="shared" si="53"/>
        <v>1250</v>
      </c>
      <c r="N342" s="198"/>
      <c r="P342" s="219"/>
    </row>
    <row r="343" spans="1:16" s="197" customFormat="1" ht="12.95" customHeight="1">
      <c r="A343" s="196" t="s">
        <v>783</v>
      </c>
      <c r="B343" s="197" t="s">
        <v>1203</v>
      </c>
      <c r="C343" s="219">
        <v>13178.2</v>
      </c>
      <c r="D343" s="219">
        <v>16072.6</v>
      </c>
      <c r="E343" s="219">
        <v>11511.25</v>
      </c>
      <c r="F343" s="219"/>
      <c r="G343" s="219">
        <v>9788.35</v>
      </c>
      <c r="H343" s="260"/>
      <c r="I343" s="490">
        <v>12400</v>
      </c>
      <c r="J343" s="260">
        <v>12400</v>
      </c>
      <c r="K343" s="260"/>
      <c r="L343" s="260">
        <v>12400</v>
      </c>
      <c r="M343" s="169">
        <f t="shared" si="53"/>
        <v>0</v>
      </c>
      <c r="N343" s="198"/>
      <c r="P343" s="219"/>
    </row>
    <row r="344" spans="1:16" s="197" customFormat="1" ht="12.95" customHeight="1">
      <c r="A344" s="196" t="s">
        <v>780</v>
      </c>
      <c r="B344" s="197" t="s">
        <v>781</v>
      </c>
      <c r="C344" s="219">
        <v>1713.52</v>
      </c>
      <c r="D344" s="219">
        <v>710</v>
      </c>
      <c r="E344" s="219">
        <v>570</v>
      </c>
      <c r="F344" s="219"/>
      <c r="G344" s="219"/>
      <c r="H344" s="260"/>
      <c r="I344" s="490">
        <v>570</v>
      </c>
      <c r="J344" s="260">
        <v>570</v>
      </c>
      <c r="K344" s="260"/>
      <c r="L344" s="260">
        <v>570</v>
      </c>
      <c r="M344" s="169">
        <f t="shared" si="53"/>
        <v>0</v>
      </c>
      <c r="N344" s="198"/>
      <c r="P344" s="219"/>
    </row>
    <row r="345" spans="1:16" s="197" customFormat="1" ht="12.95" customHeight="1">
      <c r="A345" s="196" t="s">
        <v>1183</v>
      </c>
      <c r="B345" s="197" t="s">
        <v>786</v>
      </c>
      <c r="C345" s="219">
        <v>800</v>
      </c>
      <c r="D345" s="219">
        <v>370</v>
      </c>
      <c r="E345" s="219"/>
      <c r="F345" s="219"/>
      <c r="G345" s="219">
        <v>275</v>
      </c>
      <c r="H345" s="260"/>
      <c r="I345" s="490">
        <v>0</v>
      </c>
      <c r="J345" s="260">
        <v>0</v>
      </c>
      <c r="K345" s="260"/>
      <c r="L345" s="260">
        <v>0</v>
      </c>
      <c r="M345" s="169">
        <f t="shared" si="53"/>
        <v>0</v>
      </c>
      <c r="N345" s="198"/>
      <c r="P345" s="219"/>
    </row>
    <row r="346" spans="1:16" s="197" customFormat="1" ht="12.95" customHeight="1">
      <c r="A346" s="196" t="s">
        <v>1205</v>
      </c>
      <c r="B346" s="197" t="s">
        <v>1206</v>
      </c>
      <c r="C346" s="219"/>
      <c r="D346" s="219"/>
      <c r="E346" s="219">
        <v>240</v>
      </c>
      <c r="F346" s="219"/>
      <c r="G346" s="219"/>
      <c r="H346" s="260"/>
      <c r="I346" s="490"/>
      <c r="J346" s="260"/>
      <c r="K346" s="260"/>
      <c r="L346" s="260"/>
      <c r="M346" s="169">
        <f t="shared" si="53"/>
        <v>0</v>
      </c>
      <c r="N346" s="198"/>
      <c r="P346" s="219"/>
    </row>
    <row r="347" spans="1:16" s="197" customFormat="1" ht="12.95" customHeight="1">
      <c r="A347" s="196" t="s">
        <v>768</v>
      </c>
      <c r="B347" s="197" t="s">
        <v>969</v>
      </c>
      <c r="C347" s="219">
        <v>150</v>
      </c>
      <c r="D347" s="219">
        <v>280</v>
      </c>
      <c r="E347" s="219">
        <v>290</v>
      </c>
      <c r="F347" s="219"/>
      <c r="G347" s="219">
        <v>100</v>
      </c>
      <c r="H347" s="260"/>
      <c r="I347" s="490">
        <v>300</v>
      </c>
      <c r="J347" s="260">
        <v>300</v>
      </c>
      <c r="K347" s="260"/>
      <c r="L347" s="260">
        <v>440</v>
      </c>
      <c r="M347" s="169">
        <f t="shared" si="53"/>
        <v>140</v>
      </c>
      <c r="N347" s="198"/>
      <c r="P347" s="219"/>
    </row>
    <row r="348" spans="1:16" s="197" customFormat="1" ht="12.95" customHeight="1">
      <c r="A348" s="196" t="s">
        <v>1386</v>
      </c>
      <c r="B348" s="197" t="s">
        <v>1387</v>
      </c>
      <c r="C348" s="219"/>
      <c r="D348" s="219"/>
      <c r="E348" s="219"/>
      <c r="F348" s="219"/>
      <c r="G348" s="219">
        <v>200</v>
      </c>
      <c r="H348" s="260"/>
      <c r="I348" s="490">
        <v>200</v>
      </c>
      <c r="J348" s="260"/>
      <c r="K348" s="260"/>
      <c r="L348" s="260"/>
      <c r="M348" s="169">
        <f t="shared" si="53"/>
        <v>0</v>
      </c>
      <c r="N348" s="198"/>
      <c r="P348" s="219"/>
    </row>
    <row r="349" spans="1:16" s="197" customFormat="1" ht="12.95" customHeight="1">
      <c r="A349" s="196" t="s">
        <v>1496</v>
      </c>
      <c r="B349" s="197" t="s">
        <v>987</v>
      </c>
      <c r="C349" s="219"/>
      <c r="D349" s="219"/>
      <c r="E349" s="219">
        <v>399.6</v>
      </c>
      <c r="F349" s="219"/>
      <c r="G349" s="219"/>
      <c r="H349" s="260"/>
      <c r="I349" s="490">
        <v>800</v>
      </c>
      <c r="J349" s="260">
        <v>800</v>
      </c>
      <c r="K349" s="260"/>
      <c r="L349" s="260">
        <v>0</v>
      </c>
      <c r="M349" s="169">
        <f t="shared" si="53"/>
        <v>-800</v>
      </c>
      <c r="N349" s="198"/>
      <c r="P349" s="219"/>
    </row>
    <row r="350" spans="1:16" s="197" customFormat="1" ht="12.95" customHeight="1">
      <c r="A350" s="196" t="s">
        <v>1497</v>
      </c>
      <c r="B350" s="197" t="s">
        <v>756</v>
      </c>
      <c r="C350" s="219"/>
      <c r="D350" s="219">
        <v>119.45</v>
      </c>
      <c r="E350" s="219">
        <v>237.65</v>
      </c>
      <c r="F350" s="219"/>
      <c r="G350" s="219">
        <v>90</v>
      </c>
      <c r="H350" s="260"/>
      <c r="I350" s="490">
        <v>300</v>
      </c>
      <c r="J350" s="260">
        <v>300</v>
      </c>
      <c r="K350" s="260"/>
      <c r="L350" s="260">
        <v>150</v>
      </c>
      <c r="M350" s="169">
        <f t="shared" si="53"/>
        <v>-150</v>
      </c>
      <c r="N350" s="198"/>
      <c r="P350" s="219"/>
    </row>
    <row r="351" spans="1:16" s="197" customFormat="1" ht="12.95" customHeight="1">
      <c r="A351" s="196" t="s">
        <v>757</v>
      </c>
      <c r="B351" s="197" t="s">
        <v>758</v>
      </c>
      <c r="C351" s="219">
        <v>242.68</v>
      </c>
      <c r="D351" s="219"/>
      <c r="E351" s="219">
        <v>582.69000000000005</v>
      </c>
      <c r="F351" s="219"/>
      <c r="G351" s="219">
        <v>528.34</v>
      </c>
      <c r="H351" s="260"/>
      <c r="I351" s="490">
        <v>500</v>
      </c>
      <c r="J351" s="260">
        <v>500</v>
      </c>
      <c r="K351" s="260"/>
      <c r="L351" s="260">
        <v>700</v>
      </c>
      <c r="M351" s="169">
        <f t="shared" si="53"/>
        <v>200</v>
      </c>
      <c r="N351" s="198"/>
      <c r="P351" s="219"/>
    </row>
    <row r="352" spans="1:16" s="197" customFormat="1" ht="12.95" customHeight="1">
      <c r="A352" s="196" t="s">
        <v>784</v>
      </c>
      <c r="B352" s="197" t="s">
        <v>785</v>
      </c>
      <c r="C352" s="219">
        <v>200</v>
      </c>
      <c r="D352" s="219">
        <v>155</v>
      </c>
      <c r="E352" s="219"/>
      <c r="F352" s="219"/>
      <c r="G352" s="219"/>
      <c r="H352" s="260"/>
      <c r="I352" s="490">
        <v>200</v>
      </c>
      <c r="J352" s="260">
        <v>200</v>
      </c>
      <c r="K352" s="260"/>
      <c r="L352" s="260">
        <v>200</v>
      </c>
      <c r="M352" s="169">
        <f t="shared" si="53"/>
        <v>0</v>
      </c>
      <c r="N352" s="198"/>
      <c r="P352" s="219"/>
    </row>
    <row r="353" spans="1:16" s="197" customFormat="1" ht="12.95" customHeight="1">
      <c r="A353" s="196" t="s">
        <v>1207</v>
      </c>
      <c r="B353" s="197" t="s">
        <v>618</v>
      </c>
      <c r="C353" s="219">
        <v>51.99</v>
      </c>
      <c r="D353" s="219"/>
      <c r="E353" s="219">
        <v>278.16000000000003</v>
      </c>
      <c r="F353" s="219"/>
      <c r="G353" s="219"/>
      <c r="H353" s="260"/>
      <c r="I353" s="490">
        <v>500</v>
      </c>
      <c r="J353" s="260">
        <v>500</v>
      </c>
      <c r="K353" s="260"/>
      <c r="L353" s="260">
        <v>200</v>
      </c>
      <c r="M353" s="169">
        <f t="shared" si="53"/>
        <v>-300</v>
      </c>
      <c r="N353" s="198"/>
      <c r="P353" s="219"/>
    </row>
    <row r="354" spans="1:16" s="197" customFormat="1" ht="12.95" customHeight="1">
      <c r="A354" s="196" t="s">
        <v>772</v>
      </c>
      <c r="B354" s="197" t="s">
        <v>773</v>
      </c>
      <c r="C354" s="219">
        <v>2197.85</v>
      </c>
      <c r="D354" s="219">
        <v>3083.68</v>
      </c>
      <c r="E354" s="219">
        <v>2227.17</v>
      </c>
      <c r="F354" s="219"/>
      <c r="G354" s="219">
        <v>2340.36</v>
      </c>
      <c r="H354" s="260"/>
      <c r="I354" s="490">
        <v>2345</v>
      </c>
      <c r="J354" s="260">
        <v>2345</v>
      </c>
      <c r="K354" s="260"/>
      <c r="L354" s="260">
        <v>2842</v>
      </c>
      <c r="M354" s="169">
        <f t="shared" si="53"/>
        <v>497</v>
      </c>
      <c r="N354" s="198"/>
      <c r="P354" s="219"/>
    </row>
    <row r="355" spans="1:16" s="197" customFormat="1" ht="12.95" customHeight="1">
      <c r="A355" s="196" t="s">
        <v>774</v>
      </c>
      <c r="B355" s="197" t="s">
        <v>775</v>
      </c>
      <c r="C355" s="219">
        <v>-245.86</v>
      </c>
      <c r="D355" s="219">
        <v>34.979999999999997</v>
      </c>
      <c r="E355" s="219"/>
      <c r="F355" s="219"/>
      <c r="G355" s="219"/>
      <c r="H355" s="260"/>
      <c r="I355" s="490">
        <v>35</v>
      </c>
      <c r="J355" s="260">
        <v>35</v>
      </c>
      <c r="K355" s="260"/>
      <c r="L355" s="260">
        <v>0</v>
      </c>
      <c r="M355" s="169">
        <f t="shared" si="53"/>
        <v>-35</v>
      </c>
      <c r="N355" s="198"/>
      <c r="P355" s="219"/>
    </row>
    <row r="356" spans="1:16" s="197" customFormat="1" ht="12.95" customHeight="1">
      <c r="A356" s="196" t="s">
        <v>759</v>
      </c>
      <c r="B356" s="197" t="s">
        <v>760</v>
      </c>
      <c r="C356" s="219">
        <v>1808.18</v>
      </c>
      <c r="D356" s="219">
        <v>288.97000000000003</v>
      </c>
      <c r="E356" s="219">
        <v>1699.05</v>
      </c>
      <c r="F356" s="219"/>
      <c r="G356" s="219">
        <v>200</v>
      </c>
      <c r="H356" s="260"/>
      <c r="I356" s="490">
        <v>1800</v>
      </c>
      <c r="J356" s="260">
        <v>1800</v>
      </c>
      <c r="K356" s="260"/>
      <c r="L356" s="260">
        <v>1800</v>
      </c>
      <c r="M356" s="169">
        <f t="shared" si="53"/>
        <v>0</v>
      </c>
      <c r="N356" s="198"/>
      <c r="P356" s="219"/>
    </row>
    <row r="357" spans="1:16" ht="48" thickBot="1">
      <c r="A357" s="218" t="s">
        <v>26</v>
      </c>
      <c r="B357" s="166" t="s">
        <v>25</v>
      </c>
      <c r="C357" s="228">
        <f>Summary!D314</f>
        <v>0</v>
      </c>
      <c r="D357" s="282" t="str">
        <f>D7</f>
        <v>2018/2019 Actual</v>
      </c>
      <c r="E357" s="282" t="str">
        <f>E7</f>
        <v>2019/2020 Actual</v>
      </c>
      <c r="F357" s="282"/>
      <c r="G357" s="282" t="str">
        <f>G7</f>
        <v>2020/2021 Actual</v>
      </c>
      <c r="H357" s="287"/>
      <c r="I357" s="489" t="e">
        <f>I7</f>
        <v>#REF!</v>
      </c>
      <c r="J357" s="287" t="str">
        <f>J7</f>
        <v xml:space="preserve">2021-2022 Approved Budget </v>
      </c>
      <c r="K357" s="287"/>
      <c r="L357" s="287" t="str">
        <f>L7</f>
        <v xml:space="preserve">2021-2022 Amended Budget </v>
      </c>
      <c r="M357" s="508" t="s">
        <v>89</v>
      </c>
      <c r="N357" s="167" t="s">
        <v>110</v>
      </c>
    </row>
    <row r="358" spans="1:16" s="197" customFormat="1" ht="12.95" customHeight="1">
      <c r="A358" s="196" t="s">
        <v>776</v>
      </c>
      <c r="B358" s="197" t="s">
        <v>777</v>
      </c>
      <c r="C358" s="219"/>
      <c r="D358" s="219">
        <v>491.85</v>
      </c>
      <c r="E358" s="219"/>
      <c r="F358" s="219"/>
      <c r="G358" s="219">
        <v>17.760000000000002</v>
      </c>
      <c r="H358" s="260"/>
      <c r="I358" s="490">
        <v>1000</v>
      </c>
      <c r="J358" s="260">
        <v>1000</v>
      </c>
      <c r="K358" s="260"/>
      <c r="L358" s="260">
        <v>1000</v>
      </c>
      <c r="M358" s="169">
        <f t="shared" ref="M358:M372" si="54">L358-J358</f>
        <v>0</v>
      </c>
      <c r="N358" s="198"/>
      <c r="P358" s="219"/>
    </row>
    <row r="359" spans="1:16" s="197" customFormat="1" ht="12.95" customHeight="1">
      <c r="A359" s="196" t="s">
        <v>761</v>
      </c>
      <c r="B359" s="197" t="s">
        <v>762</v>
      </c>
      <c r="C359" s="219">
        <v>343.99</v>
      </c>
      <c r="D359" s="219">
        <v>400</v>
      </c>
      <c r="E359" s="219">
        <v>1487.3</v>
      </c>
      <c r="F359" s="219"/>
      <c r="G359" s="219"/>
      <c r="H359" s="260"/>
      <c r="I359" s="490">
        <v>960</v>
      </c>
      <c r="J359" s="260">
        <v>960</v>
      </c>
      <c r="K359" s="260"/>
      <c r="L359" s="260">
        <v>960</v>
      </c>
      <c r="M359" s="169">
        <f t="shared" si="54"/>
        <v>0</v>
      </c>
      <c r="N359" s="198"/>
      <c r="P359" s="219"/>
    </row>
    <row r="360" spans="1:16" s="197" customFormat="1" ht="12.95" customHeight="1">
      <c r="A360" s="196" t="s">
        <v>763</v>
      </c>
      <c r="B360" s="197" t="s">
        <v>764</v>
      </c>
      <c r="C360" s="219">
        <v>2442.86</v>
      </c>
      <c r="D360" s="219">
        <v>-1485.6</v>
      </c>
      <c r="E360" s="219">
        <v>1147.98</v>
      </c>
      <c r="F360" s="219"/>
      <c r="G360" s="219"/>
      <c r="H360" s="260"/>
      <c r="I360" s="490">
        <v>990</v>
      </c>
      <c r="J360" s="260">
        <v>990</v>
      </c>
      <c r="K360" s="260"/>
      <c r="L360" s="260">
        <v>990</v>
      </c>
      <c r="M360" s="169">
        <f t="shared" si="54"/>
        <v>0</v>
      </c>
      <c r="N360" s="198"/>
      <c r="P360" s="219"/>
    </row>
    <row r="361" spans="1:16" s="197" customFormat="1" ht="12.95" customHeight="1">
      <c r="A361" s="196" t="s">
        <v>765</v>
      </c>
      <c r="B361" s="197" t="s">
        <v>766</v>
      </c>
      <c r="C361" s="219"/>
      <c r="D361" s="219"/>
      <c r="E361" s="219">
        <v>831.35</v>
      </c>
      <c r="F361" s="219"/>
      <c r="G361" s="219"/>
      <c r="H361" s="260"/>
      <c r="I361" s="490">
        <v>835</v>
      </c>
      <c r="J361" s="260">
        <v>835</v>
      </c>
      <c r="K361" s="260"/>
      <c r="L361" s="260">
        <v>0</v>
      </c>
      <c r="M361" s="169">
        <f t="shared" si="54"/>
        <v>-835</v>
      </c>
      <c r="N361" s="198"/>
      <c r="P361" s="219"/>
    </row>
    <row r="362" spans="1:16" s="197" customFormat="1" ht="12.75" customHeight="1">
      <c r="A362" s="196" t="s">
        <v>767</v>
      </c>
      <c r="B362" s="197" t="s">
        <v>630</v>
      </c>
      <c r="C362" s="219">
        <v>1461.74</v>
      </c>
      <c r="D362" s="219">
        <v>2606.0700000000002</v>
      </c>
      <c r="E362" s="219">
        <v>2398.0300000000002</v>
      </c>
      <c r="F362" s="219"/>
      <c r="G362" s="219">
        <v>3077.28</v>
      </c>
      <c r="H362" s="260"/>
      <c r="I362" s="490">
        <v>3000</v>
      </c>
      <c r="J362" s="260">
        <v>3000</v>
      </c>
      <c r="K362" s="260"/>
      <c r="L362" s="260">
        <v>3000</v>
      </c>
      <c r="M362" s="169">
        <f t="shared" si="54"/>
        <v>0</v>
      </c>
      <c r="N362" s="198"/>
      <c r="P362" s="219"/>
    </row>
    <row r="363" spans="1:16" s="197" customFormat="1" ht="12.95" customHeight="1">
      <c r="A363" s="196" t="s">
        <v>769</v>
      </c>
      <c r="B363" s="197" t="s">
        <v>770</v>
      </c>
      <c r="C363" s="219">
        <v>3111.66</v>
      </c>
      <c r="D363" s="219"/>
      <c r="E363" s="219"/>
      <c r="F363" s="219"/>
      <c r="G363" s="219"/>
      <c r="H363" s="260"/>
      <c r="I363" s="490">
        <v>0</v>
      </c>
      <c r="J363" s="260">
        <v>0</v>
      </c>
      <c r="K363" s="260"/>
      <c r="L363" s="260">
        <v>0</v>
      </c>
      <c r="M363" s="169">
        <f t="shared" si="54"/>
        <v>0</v>
      </c>
      <c r="N363" s="198"/>
      <c r="P363" s="219"/>
    </row>
    <row r="364" spans="1:16" s="197" customFormat="1" ht="12.95" customHeight="1">
      <c r="A364" s="196" t="s">
        <v>778</v>
      </c>
      <c r="B364" s="197" t="s">
        <v>779</v>
      </c>
      <c r="C364" s="219">
        <v>6064.91</v>
      </c>
      <c r="D364" s="219"/>
      <c r="E364" s="219"/>
      <c r="F364" s="219"/>
      <c r="G364" s="219"/>
      <c r="H364" s="260"/>
      <c r="I364" s="490">
        <v>0</v>
      </c>
      <c r="J364" s="260">
        <v>0</v>
      </c>
      <c r="K364" s="260"/>
      <c r="L364" s="260">
        <v>0</v>
      </c>
      <c r="M364" s="169">
        <f t="shared" si="54"/>
        <v>0</v>
      </c>
      <c r="N364" s="198"/>
      <c r="P364" s="219"/>
    </row>
    <row r="365" spans="1:16" s="197" customFormat="1" ht="12.95" customHeight="1">
      <c r="A365" s="196" t="s">
        <v>787</v>
      </c>
      <c r="B365" s="197" t="s">
        <v>788</v>
      </c>
      <c r="C365" s="219"/>
      <c r="D365" s="219"/>
      <c r="E365" s="219"/>
      <c r="F365" s="219"/>
      <c r="G365" s="219"/>
      <c r="H365" s="260"/>
      <c r="I365" s="490">
        <v>0</v>
      </c>
      <c r="J365" s="260">
        <v>0</v>
      </c>
      <c r="K365" s="260"/>
      <c r="L365" s="260">
        <v>0</v>
      </c>
      <c r="M365" s="169">
        <f t="shared" si="54"/>
        <v>0</v>
      </c>
      <c r="N365" s="198"/>
      <c r="P365" s="219"/>
    </row>
    <row r="366" spans="1:16" s="197" customFormat="1" ht="12.95" customHeight="1">
      <c r="A366" s="196" t="s">
        <v>791</v>
      </c>
      <c r="B366" s="197" t="s">
        <v>337</v>
      </c>
      <c r="C366" s="219"/>
      <c r="D366" s="219">
        <v>1232.99</v>
      </c>
      <c r="E366" s="219"/>
      <c r="F366" s="219"/>
      <c r="G366" s="219"/>
      <c r="H366" s="260"/>
      <c r="I366" s="490"/>
      <c r="J366" s="260"/>
      <c r="K366" s="260"/>
      <c r="L366" s="260"/>
      <c r="M366" s="169">
        <f t="shared" si="54"/>
        <v>0</v>
      </c>
      <c r="N366" s="198"/>
      <c r="P366" s="219"/>
    </row>
    <row r="367" spans="1:16" s="197" customFormat="1" ht="12.95" customHeight="1">
      <c r="A367" s="196" t="s">
        <v>790</v>
      </c>
      <c r="B367" s="197" t="s">
        <v>335</v>
      </c>
      <c r="C367" s="219">
        <v>190</v>
      </c>
      <c r="D367" s="219">
        <v>5891.14</v>
      </c>
      <c r="E367" s="219"/>
      <c r="F367" s="219"/>
      <c r="G367" s="219"/>
      <c r="H367" s="260"/>
      <c r="I367" s="490"/>
      <c r="J367" s="260"/>
      <c r="K367" s="260"/>
      <c r="L367" s="260"/>
      <c r="M367" s="169">
        <f t="shared" si="54"/>
        <v>0</v>
      </c>
      <c r="N367" s="198"/>
      <c r="P367" s="219"/>
    </row>
    <row r="368" spans="1:16" s="197" customFormat="1" ht="12.95" customHeight="1">
      <c r="A368" s="196" t="s">
        <v>792</v>
      </c>
      <c r="B368" s="197" t="s">
        <v>793</v>
      </c>
      <c r="C368" s="219">
        <v>8545.86</v>
      </c>
      <c r="D368" s="219"/>
      <c r="E368" s="219"/>
      <c r="F368" s="219"/>
      <c r="G368" s="219"/>
      <c r="H368" s="260"/>
      <c r="I368" s="490"/>
      <c r="J368" s="260"/>
      <c r="K368" s="260"/>
      <c r="L368" s="260"/>
      <c r="M368" s="169">
        <f t="shared" si="54"/>
        <v>0</v>
      </c>
      <c r="N368" s="198"/>
      <c r="P368" s="219"/>
    </row>
    <row r="369" spans="1:18" s="197" customFormat="1" ht="12.95" customHeight="1">
      <c r="A369" s="196" t="s">
        <v>789</v>
      </c>
      <c r="B369" s="197" t="s">
        <v>333</v>
      </c>
      <c r="C369" s="219">
        <v>716.05</v>
      </c>
      <c r="D369" s="219">
        <v>5186.33</v>
      </c>
      <c r="E369" s="219"/>
      <c r="F369" s="219"/>
      <c r="G369" s="219"/>
      <c r="H369" s="260"/>
      <c r="I369" s="490"/>
      <c r="J369" s="260"/>
      <c r="K369" s="260"/>
      <c r="L369" s="260"/>
      <c r="M369" s="169">
        <f t="shared" si="54"/>
        <v>0</v>
      </c>
      <c r="N369" s="198"/>
      <c r="P369" s="219"/>
    </row>
    <row r="370" spans="1:18" s="197" customFormat="1" ht="12.75" customHeight="1">
      <c r="A370" s="196" t="s">
        <v>794</v>
      </c>
      <c r="B370" s="197" t="s">
        <v>795</v>
      </c>
      <c r="C370" s="219">
        <v>1443.45</v>
      </c>
      <c r="D370" s="219"/>
      <c r="E370" s="219"/>
      <c r="F370" s="219"/>
      <c r="G370" s="219"/>
      <c r="H370" s="260"/>
      <c r="I370" s="490">
        <v>0</v>
      </c>
      <c r="J370" s="260">
        <v>0</v>
      </c>
      <c r="K370" s="260"/>
      <c r="L370" s="260">
        <v>0</v>
      </c>
      <c r="M370" s="169">
        <f t="shared" si="54"/>
        <v>0</v>
      </c>
      <c r="N370" s="198"/>
      <c r="P370" s="219"/>
    </row>
    <row r="371" spans="1:18" s="197" customFormat="1" ht="12.95" customHeight="1">
      <c r="A371" s="196" t="s">
        <v>796</v>
      </c>
      <c r="B371" s="197" t="s">
        <v>797</v>
      </c>
      <c r="C371" s="219"/>
      <c r="D371" s="219"/>
      <c r="E371" s="219"/>
      <c r="F371" s="219"/>
      <c r="G371" s="219"/>
      <c r="H371" s="260"/>
      <c r="I371" s="490">
        <v>0</v>
      </c>
      <c r="J371" s="260">
        <v>0</v>
      </c>
      <c r="K371" s="260"/>
      <c r="L371" s="260">
        <v>0</v>
      </c>
      <c r="M371" s="169">
        <f t="shared" si="54"/>
        <v>0</v>
      </c>
      <c r="N371" s="198"/>
      <c r="P371" s="219"/>
    </row>
    <row r="372" spans="1:18" s="197" customFormat="1" ht="12.95" customHeight="1">
      <c r="A372" s="196" t="s">
        <v>798</v>
      </c>
      <c r="B372" s="197" t="s">
        <v>345</v>
      </c>
      <c r="C372" s="219">
        <v>53</v>
      </c>
      <c r="D372" s="219"/>
      <c r="E372" s="219"/>
      <c r="F372" s="219"/>
      <c r="G372" s="219"/>
      <c r="H372" s="260"/>
      <c r="I372" s="490">
        <v>0</v>
      </c>
      <c r="J372" s="260">
        <v>0</v>
      </c>
      <c r="K372" s="260"/>
      <c r="L372" s="260">
        <v>0</v>
      </c>
      <c r="M372" s="169">
        <f t="shared" si="54"/>
        <v>0</v>
      </c>
      <c r="N372" s="198"/>
      <c r="P372" s="219"/>
    </row>
    <row r="373" spans="1:18">
      <c r="A373" s="170"/>
    </row>
    <row r="374" spans="1:18" s="167" customFormat="1">
      <c r="A374" s="176">
        <v>293</v>
      </c>
      <c r="B374" s="167" t="s">
        <v>20</v>
      </c>
      <c r="C374" s="221">
        <f>SUM(C329:C373)</f>
        <v>140037.40000000002</v>
      </c>
      <c r="D374" s="221">
        <f>SUM(D329:D373)</f>
        <v>121043.47000000002</v>
      </c>
      <c r="E374" s="221">
        <f>SUM(E329:E373)</f>
        <v>111959.58</v>
      </c>
      <c r="F374" s="221"/>
      <c r="G374" s="221">
        <f>SUM(G329:G373)</f>
        <v>103914.03</v>
      </c>
      <c r="H374" s="174"/>
      <c r="I374" s="494" t="e">
        <f>SUM(I329:I373)</f>
        <v>#REF!</v>
      </c>
      <c r="J374" s="174">
        <f>SUM(J329:J373)</f>
        <v>123708.9716</v>
      </c>
      <c r="K374" s="174"/>
      <c r="L374" s="174">
        <f>SUM(L329:L373)</f>
        <v>132559.4976</v>
      </c>
      <c r="M374" s="174">
        <f>SUM(M329:M373)</f>
        <v>8850.5259999999998</v>
      </c>
      <c r="P374" s="229"/>
      <c r="Q374" s="229"/>
      <c r="R374" s="172"/>
    </row>
    <row r="375" spans="1:18">
      <c r="A375" s="170"/>
    </row>
    <row r="376" spans="1:18">
      <c r="A376" s="175"/>
      <c r="B376" s="164" t="s">
        <v>1313</v>
      </c>
      <c r="D376" s="182">
        <v>-2223</v>
      </c>
      <c r="E376" s="182">
        <v>-4044.46</v>
      </c>
      <c r="G376" s="182">
        <v>-274.95</v>
      </c>
      <c r="M376" s="169">
        <f t="shared" ref="M376:M389" si="55">L376-J376</f>
        <v>0</v>
      </c>
    </row>
    <row r="377" spans="1:18">
      <c r="A377" s="175">
        <v>1161199901</v>
      </c>
      <c r="B377" s="164" t="s">
        <v>1346</v>
      </c>
      <c r="G377" s="182">
        <v>-3206.35</v>
      </c>
      <c r="I377" s="492">
        <f>-I500</f>
        <v>-10814.95</v>
      </c>
      <c r="J377" s="168">
        <f>-J500</f>
        <v>-10529</v>
      </c>
      <c r="L377" s="168">
        <f t="shared" ref="L377" si="56">-L500</f>
        <v>-11781.01</v>
      </c>
      <c r="M377" s="169">
        <f t="shared" si="55"/>
        <v>-1252.0100000000002</v>
      </c>
    </row>
    <row r="378" spans="1:18">
      <c r="A378" s="175">
        <v>116119990</v>
      </c>
      <c r="B378" s="164" t="s">
        <v>1314</v>
      </c>
      <c r="D378" s="182">
        <v>-964.87</v>
      </c>
      <c r="E378" s="182">
        <f>-35.13-1510.43</f>
        <v>-1545.5600000000002</v>
      </c>
      <c r="M378" s="169">
        <f t="shared" si="55"/>
        <v>0</v>
      </c>
    </row>
    <row r="379" spans="1:18">
      <c r="A379" s="175">
        <v>11611999027</v>
      </c>
      <c r="B379" s="164" t="s">
        <v>1190</v>
      </c>
      <c r="G379" s="182">
        <v>-429.21</v>
      </c>
      <c r="I379" s="492">
        <f>-I505</f>
        <v>-2572</v>
      </c>
      <c r="J379" s="168">
        <f>-J505</f>
        <v>-3365</v>
      </c>
      <c r="K379" s="168">
        <f t="shared" ref="K379:L379" si="57">-K505</f>
        <v>0</v>
      </c>
      <c r="L379" s="168">
        <f t="shared" si="57"/>
        <v>-2838.62</v>
      </c>
      <c r="M379" s="169">
        <f t="shared" si="55"/>
        <v>526.38000000000011</v>
      </c>
    </row>
    <row r="380" spans="1:18">
      <c r="A380" s="175">
        <v>1161199907</v>
      </c>
      <c r="B380" s="164" t="s">
        <v>1315</v>
      </c>
      <c r="E380" s="182">
        <v>-13.15</v>
      </c>
      <c r="G380" s="182">
        <v>-23.99</v>
      </c>
      <c r="I380" s="492">
        <v>0</v>
      </c>
      <c r="J380" s="168">
        <v>0</v>
      </c>
      <c r="K380" s="168">
        <v>1</v>
      </c>
      <c r="M380" s="169">
        <f t="shared" si="55"/>
        <v>0</v>
      </c>
    </row>
    <row r="381" spans="1:18">
      <c r="A381" s="175">
        <v>116119990753</v>
      </c>
      <c r="B381" s="164" t="s">
        <v>1316</v>
      </c>
      <c r="G381" s="182">
        <v>-24.52</v>
      </c>
      <c r="I381" s="492">
        <f>-I510</f>
        <v>-223.99</v>
      </c>
      <c r="J381" s="168">
        <f>-J510</f>
        <v>-269</v>
      </c>
      <c r="K381" s="168">
        <f t="shared" ref="K381:L381" si="58">-K510</f>
        <v>0</v>
      </c>
      <c r="L381" s="168">
        <f t="shared" si="58"/>
        <v>-482.26</v>
      </c>
      <c r="M381" s="169">
        <f t="shared" si="55"/>
        <v>-213.26</v>
      </c>
    </row>
    <row r="382" spans="1:18">
      <c r="A382" s="170">
        <v>116117680</v>
      </c>
      <c r="B382" s="164" t="s">
        <v>1317</v>
      </c>
      <c r="D382" s="182">
        <v>-392</v>
      </c>
      <c r="I382" s="492">
        <f>-I516</f>
        <v>0</v>
      </c>
      <c r="J382" s="168">
        <f>-J516</f>
        <v>0</v>
      </c>
      <c r="K382" s="168">
        <f t="shared" ref="K382:L382" si="59">-K516</f>
        <v>0</v>
      </c>
      <c r="L382" s="168">
        <f t="shared" si="59"/>
        <v>0</v>
      </c>
      <c r="M382" s="169">
        <f t="shared" si="55"/>
        <v>0</v>
      </c>
    </row>
    <row r="383" spans="1:18">
      <c r="A383" s="170">
        <v>116112</v>
      </c>
      <c r="B383" s="164" t="s">
        <v>964</v>
      </c>
      <c r="D383" s="182">
        <v>-3125</v>
      </c>
      <c r="M383" s="169">
        <f t="shared" si="55"/>
        <v>0</v>
      </c>
    </row>
    <row r="384" spans="1:18">
      <c r="A384" s="170"/>
      <c r="B384" s="164" t="s">
        <v>1318</v>
      </c>
      <c r="D384" s="182">
        <v>-32553.37</v>
      </c>
      <c r="E384" s="182">
        <f>-7857.95-28064.25</f>
        <v>-35922.199999999997</v>
      </c>
      <c r="G384" s="182">
        <v>-7008.93</v>
      </c>
      <c r="I384" s="492">
        <f>-I494</f>
        <v>0</v>
      </c>
      <c r="J384" s="168">
        <f>-J494</f>
        <v>0</v>
      </c>
      <c r="K384" s="168">
        <f t="shared" ref="K384:L384" si="60">-K494</f>
        <v>0</v>
      </c>
      <c r="L384" s="168">
        <f t="shared" si="60"/>
        <v>0</v>
      </c>
      <c r="M384" s="169">
        <f t="shared" si="55"/>
        <v>0</v>
      </c>
    </row>
    <row r="385" spans="1:16">
      <c r="A385" s="170">
        <v>116119993</v>
      </c>
      <c r="B385" s="164" t="s">
        <v>1191</v>
      </c>
      <c r="G385" s="182">
        <v>-20278.98</v>
      </c>
      <c r="I385" s="492">
        <f>-I489</f>
        <v>-44571.93</v>
      </c>
      <c r="J385" s="168">
        <f>-J489</f>
        <v>0</v>
      </c>
      <c r="K385" s="168">
        <f t="shared" ref="K385:L385" si="61">-K489</f>
        <v>0</v>
      </c>
      <c r="L385" s="168">
        <f t="shared" si="61"/>
        <v>-17284.02</v>
      </c>
      <c r="M385" s="169">
        <f t="shared" si="55"/>
        <v>-17284.02</v>
      </c>
    </row>
    <row r="386" spans="1:16">
      <c r="A386" s="170">
        <v>11611999075</v>
      </c>
      <c r="B386" s="380" t="s">
        <v>1180</v>
      </c>
      <c r="G386" s="182">
        <v>-4495.82</v>
      </c>
      <c r="I386" s="492">
        <f>-I552</f>
        <v>-4703</v>
      </c>
      <c r="J386" s="168">
        <f>-J552</f>
        <v>0</v>
      </c>
      <c r="K386" s="168">
        <f t="shared" ref="K386:L386" si="62">-K552</f>
        <v>0</v>
      </c>
      <c r="L386" s="168">
        <f t="shared" si="62"/>
        <v>-179.16</v>
      </c>
      <c r="M386" s="169">
        <f t="shared" si="55"/>
        <v>-179.16</v>
      </c>
    </row>
    <row r="387" spans="1:16">
      <c r="A387" s="170" t="s">
        <v>1395</v>
      </c>
      <c r="B387" s="380" t="s">
        <v>1360</v>
      </c>
      <c r="J387" s="168">
        <f>-J562</f>
        <v>-12422</v>
      </c>
      <c r="K387" s="168">
        <f t="shared" ref="K387:L387" si="63">-K562</f>
        <v>0</v>
      </c>
      <c r="L387" s="168">
        <f t="shared" si="63"/>
        <v>-27050.560000000001</v>
      </c>
      <c r="M387" s="169">
        <f t="shared" si="55"/>
        <v>-14628.560000000001</v>
      </c>
    </row>
    <row r="388" spans="1:16">
      <c r="A388" s="170" t="s">
        <v>1498</v>
      </c>
      <c r="B388" s="380" t="s">
        <v>1363</v>
      </c>
      <c r="J388" s="168">
        <f>-J567</f>
        <v>0</v>
      </c>
      <c r="K388" s="168">
        <f t="shared" ref="K388:L388" si="64">-K567</f>
        <v>0</v>
      </c>
      <c r="L388" s="168">
        <f t="shared" si="64"/>
        <v>-2000</v>
      </c>
      <c r="M388" s="169">
        <f t="shared" si="55"/>
        <v>-2000</v>
      </c>
    </row>
    <row r="389" spans="1:16">
      <c r="A389" s="170">
        <v>1199004990</v>
      </c>
      <c r="B389" s="380" t="s">
        <v>1219</v>
      </c>
      <c r="G389" s="182">
        <v>-404.86</v>
      </c>
      <c r="I389" s="492">
        <f>-I576</f>
        <v>-512</v>
      </c>
      <c r="J389" s="168">
        <f>-J576</f>
        <v>0</v>
      </c>
      <c r="K389" s="168">
        <f t="shared" ref="K389:L389" si="65">-K576</f>
        <v>0</v>
      </c>
      <c r="L389" s="168">
        <f t="shared" si="65"/>
        <v>0</v>
      </c>
      <c r="M389" s="169">
        <f t="shared" si="55"/>
        <v>0</v>
      </c>
    </row>
    <row r="390" spans="1:16">
      <c r="A390" s="170"/>
      <c r="B390" s="261"/>
    </row>
    <row r="391" spans="1:16" s="167" customFormat="1">
      <c r="A391" s="176">
        <v>492</v>
      </c>
      <c r="B391" s="167" t="s">
        <v>292</v>
      </c>
      <c r="C391" s="174">
        <f>SUM(C376:C382)</f>
        <v>0</v>
      </c>
      <c r="D391" s="221">
        <f>SUM(D376:D386)</f>
        <v>-39258.239999999998</v>
      </c>
      <c r="E391" s="221">
        <f>SUM(E376:E386)</f>
        <v>-41525.369999999995</v>
      </c>
      <c r="F391" s="221"/>
      <c r="G391" s="221">
        <f>SUM(G376:G390)</f>
        <v>-36147.61</v>
      </c>
      <c r="H391" s="174"/>
      <c r="I391" s="494">
        <f>SUM(I376:I390)</f>
        <v>-63397.87</v>
      </c>
      <c r="J391" s="174">
        <f>SUM(J376:J390)</f>
        <v>-26585</v>
      </c>
      <c r="K391" s="174"/>
      <c r="L391" s="174">
        <f t="shared" ref="L391" si="66">SUM(L376:L390)</f>
        <v>-61615.630000000005</v>
      </c>
      <c r="M391" s="174">
        <f>SUM(M376:M390)</f>
        <v>-35030.630000000005</v>
      </c>
      <c r="P391" s="229"/>
    </row>
    <row r="392" spans="1:16">
      <c r="A392" s="170"/>
    </row>
    <row r="393" spans="1:16">
      <c r="A393" s="175">
        <v>52000</v>
      </c>
      <c r="B393" s="164" t="s">
        <v>848</v>
      </c>
      <c r="C393" s="182">
        <v>25432.29</v>
      </c>
      <c r="D393" s="182">
        <v>19000</v>
      </c>
      <c r="G393" s="182">
        <v>20000</v>
      </c>
      <c r="I393" s="492">
        <v>35000</v>
      </c>
      <c r="J393" s="168">
        <v>35000</v>
      </c>
      <c r="L393" s="168">
        <v>35000</v>
      </c>
      <c r="M393" s="169">
        <f t="shared" ref="M393:M394" si="67">L393-J393</f>
        <v>0</v>
      </c>
    </row>
    <row r="394" spans="1:16">
      <c r="A394" s="170">
        <v>53000</v>
      </c>
      <c r="B394" s="164" t="s">
        <v>885</v>
      </c>
      <c r="D394" s="182">
        <v>7213.12</v>
      </c>
      <c r="G394" s="182">
        <v>0</v>
      </c>
      <c r="I394" s="492">
        <v>0</v>
      </c>
      <c r="J394" s="168">
        <v>0</v>
      </c>
      <c r="L394" s="168">
        <v>0</v>
      </c>
      <c r="M394" s="169">
        <f t="shared" si="67"/>
        <v>0</v>
      </c>
    </row>
    <row r="395" spans="1:16">
      <c r="A395" s="170"/>
    </row>
    <row r="396" spans="1:16" s="167" customFormat="1">
      <c r="A396" s="176">
        <v>800</v>
      </c>
      <c r="B396" s="167" t="s">
        <v>810</v>
      </c>
      <c r="C396" s="174">
        <f t="shared" ref="C396:M396" si="68">SUM(C393:C395)</f>
        <v>25432.29</v>
      </c>
      <c r="D396" s="221">
        <f t="shared" si="68"/>
        <v>26213.119999999999</v>
      </c>
      <c r="E396" s="221">
        <f t="shared" si="68"/>
        <v>0</v>
      </c>
      <c r="F396" s="221"/>
      <c r="G396" s="221">
        <f t="shared" ref="G396" si="69">SUM(G393:G395)</f>
        <v>20000</v>
      </c>
      <c r="H396" s="174"/>
      <c r="I396" s="494">
        <f t="shared" ref="I396" si="70">SUM(I393:I395)</f>
        <v>35000</v>
      </c>
      <c r="J396" s="174">
        <f t="shared" ref="J396:L396" si="71">SUM(J393:J395)</f>
        <v>35000</v>
      </c>
      <c r="K396" s="174"/>
      <c r="L396" s="174">
        <f t="shared" si="71"/>
        <v>35000</v>
      </c>
      <c r="M396" s="174">
        <f t="shared" si="68"/>
        <v>0</v>
      </c>
      <c r="P396" s="229"/>
    </row>
    <row r="397" spans="1:16">
      <c r="A397" s="170"/>
    </row>
    <row r="398" spans="1:16" s="197" customFormat="1" ht="12.95" customHeight="1">
      <c r="A398" s="196" t="s">
        <v>503</v>
      </c>
      <c r="B398" s="197" t="s">
        <v>504</v>
      </c>
      <c r="C398" s="219"/>
      <c r="D398" s="219">
        <v>18253.8</v>
      </c>
      <c r="E398" s="219"/>
      <c r="F398" s="219"/>
      <c r="G398" s="219"/>
      <c r="H398" s="260"/>
      <c r="I398" s="490">
        <v>0</v>
      </c>
      <c r="J398" s="260">
        <v>0</v>
      </c>
      <c r="K398" s="260"/>
      <c r="L398" s="260">
        <v>19000</v>
      </c>
      <c r="M398" s="169">
        <f t="shared" ref="M398:M414" si="72">L398-J398</f>
        <v>19000</v>
      </c>
      <c r="N398" s="198" t="s">
        <v>505</v>
      </c>
      <c r="P398" s="219"/>
    </row>
    <row r="399" spans="1:16" s="197" customFormat="1" ht="12.95" customHeight="1">
      <c r="A399" s="196" t="s">
        <v>1396</v>
      </c>
      <c r="B399" s="197" t="s">
        <v>1032</v>
      </c>
      <c r="C399" s="219"/>
      <c r="D399" s="219"/>
      <c r="E399" s="219"/>
      <c r="F399" s="219"/>
      <c r="G399" s="219"/>
      <c r="H399" s="260"/>
      <c r="I399" s="490">
        <v>720</v>
      </c>
      <c r="J399" s="260">
        <v>720</v>
      </c>
      <c r="K399" s="260"/>
      <c r="L399" s="260">
        <v>720</v>
      </c>
      <c r="M399" s="169">
        <f t="shared" si="72"/>
        <v>0</v>
      </c>
      <c r="N399" s="198"/>
      <c r="P399" s="219"/>
    </row>
    <row r="400" spans="1:16" s="197" customFormat="1" ht="12.95" customHeight="1">
      <c r="A400" s="196" t="s">
        <v>506</v>
      </c>
      <c r="B400" s="197" t="s">
        <v>507</v>
      </c>
      <c r="C400" s="219"/>
      <c r="D400" s="219">
        <v>4761.68</v>
      </c>
      <c r="E400" s="219"/>
      <c r="F400" s="219"/>
      <c r="G400" s="219"/>
      <c r="H400" s="260"/>
      <c r="I400" s="490"/>
      <c r="J400" s="260"/>
      <c r="K400" s="260"/>
      <c r="L400" s="260"/>
      <c r="M400" s="169">
        <f t="shared" si="72"/>
        <v>0</v>
      </c>
      <c r="N400" s="198" t="s">
        <v>505</v>
      </c>
      <c r="P400" s="219"/>
    </row>
    <row r="401" spans="1:16" s="197" customFormat="1" ht="12.95" customHeight="1">
      <c r="A401" s="196" t="s">
        <v>508</v>
      </c>
      <c r="B401" s="197" t="s">
        <v>509</v>
      </c>
      <c r="C401" s="219"/>
      <c r="D401" s="219">
        <v>6888.64</v>
      </c>
      <c r="E401" s="219">
        <v>6997.71</v>
      </c>
      <c r="F401" s="219"/>
      <c r="G401" s="219">
        <v>7145.01</v>
      </c>
      <c r="H401" s="260"/>
      <c r="I401" s="490">
        <v>10696</v>
      </c>
      <c r="J401" s="260">
        <v>20000</v>
      </c>
      <c r="K401" s="260"/>
      <c r="L401" s="260">
        <v>12000</v>
      </c>
      <c r="M401" s="169">
        <f t="shared" si="72"/>
        <v>-8000</v>
      </c>
      <c r="N401" s="198"/>
      <c r="P401" s="219"/>
    </row>
    <row r="402" spans="1:16" s="197" customFormat="1" ht="12.95" customHeight="1">
      <c r="A402" s="196" t="s">
        <v>510</v>
      </c>
      <c r="B402" s="197" t="s">
        <v>511</v>
      </c>
      <c r="C402" s="219"/>
      <c r="D402" s="219">
        <v>1800.19</v>
      </c>
      <c r="E402" s="398">
        <v>2784.57</v>
      </c>
      <c r="F402" s="398"/>
      <c r="G402" s="398">
        <v>3037.03</v>
      </c>
      <c r="H402" s="288"/>
      <c r="I402" s="491">
        <f>SUM(I401)*I612</f>
        <v>4736.1887999999999</v>
      </c>
      <c r="J402" s="288">
        <f>SUM(J401)*J612</f>
        <v>8856</v>
      </c>
      <c r="K402" s="288"/>
      <c r="L402" s="288">
        <f>SUM(L401)*L612</f>
        <v>5313.6</v>
      </c>
      <c r="M402" s="169">
        <f t="shared" si="72"/>
        <v>-3542.3999999999996</v>
      </c>
      <c r="N402" s="198"/>
      <c r="P402" s="219"/>
    </row>
    <row r="403" spans="1:16" s="197" customFormat="1" ht="12.95" customHeight="1">
      <c r="A403" s="196" t="s">
        <v>512</v>
      </c>
      <c r="B403" s="197" t="s">
        <v>513</v>
      </c>
      <c r="C403" s="219"/>
      <c r="D403" s="219">
        <v>511.19</v>
      </c>
      <c r="E403" s="398">
        <v>519.25</v>
      </c>
      <c r="F403" s="398"/>
      <c r="G403" s="398">
        <v>530.17999999999995</v>
      </c>
      <c r="H403" s="288"/>
      <c r="I403" s="491">
        <f>SUM(I401)*I613</f>
        <v>818.24400000000003</v>
      </c>
      <c r="J403" s="288">
        <f>SUM(J401)*J613</f>
        <v>1530</v>
      </c>
      <c r="K403" s="288"/>
      <c r="L403" s="288">
        <f>SUM(L401)*L613</f>
        <v>918</v>
      </c>
      <c r="M403" s="169">
        <f t="shared" si="72"/>
        <v>-612</v>
      </c>
      <c r="N403" s="198"/>
      <c r="P403" s="219"/>
    </row>
    <row r="404" spans="1:16" s="197" customFormat="1" ht="12.95" customHeight="1">
      <c r="A404" s="196" t="s">
        <v>1034</v>
      </c>
      <c r="B404" s="197" t="s">
        <v>1035</v>
      </c>
      <c r="C404" s="219"/>
      <c r="D404" s="219"/>
      <c r="E404" s="219">
        <v>1200</v>
      </c>
      <c r="F404" s="219"/>
      <c r="G404" s="219"/>
      <c r="H404" s="260"/>
      <c r="I404" s="490">
        <v>1200</v>
      </c>
      <c r="J404" s="260">
        <v>1200</v>
      </c>
      <c r="K404" s="260"/>
      <c r="L404" s="260">
        <v>1200</v>
      </c>
      <c r="M404" s="169">
        <f t="shared" si="72"/>
        <v>0</v>
      </c>
      <c r="N404" s="198"/>
      <c r="P404" s="219"/>
    </row>
    <row r="405" spans="1:16" s="197" customFormat="1" ht="12.95" customHeight="1">
      <c r="A405" s="196" t="s">
        <v>501</v>
      </c>
      <c r="B405" s="197" t="s">
        <v>1024</v>
      </c>
      <c r="C405" s="219"/>
      <c r="D405" s="219">
        <v>22005</v>
      </c>
      <c r="E405" s="219">
        <v>65295</v>
      </c>
      <c r="F405" s="219"/>
      <c r="G405" s="219">
        <v>67601.63</v>
      </c>
      <c r="H405" s="260"/>
      <c r="I405" s="490">
        <v>80000</v>
      </c>
      <c r="J405" s="260">
        <v>80000</v>
      </c>
      <c r="K405" s="260"/>
      <c r="L405" s="260">
        <v>80000</v>
      </c>
      <c r="M405" s="169">
        <f t="shared" si="72"/>
        <v>0</v>
      </c>
      <c r="N405" s="198" t="s">
        <v>502</v>
      </c>
      <c r="P405" s="219"/>
    </row>
    <row r="406" spans="1:16" s="197" customFormat="1" ht="12.95" customHeight="1">
      <c r="A406" s="196" t="s">
        <v>1208</v>
      </c>
      <c r="B406" s="197" t="s">
        <v>1209</v>
      </c>
      <c r="C406" s="219"/>
      <c r="D406" s="219"/>
      <c r="E406" s="219">
        <v>720</v>
      </c>
      <c r="F406" s="219"/>
      <c r="G406" s="219">
        <f>6114.89+1177</f>
        <v>7291.89</v>
      </c>
      <c r="H406" s="260"/>
      <c r="I406" s="490"/>
      <c r="J406" s="260"/>
      <c r="K406" s="260"/>
      <c r="L406" s="260"/>
      <c r="M406" s="169">
        <f t="shared" si="72"/>
        <v>0</v>
      </c>
      <c r="N406" s="198"/>
      <c r="P406" s="219"/>
    </row>
    <row r="407" spans="1:16" s="197" customFormat="1" ht="12" customHeight="1">
      <c r="B407" s="197" t="s">
        <v>1033</v>
      </c>
      <c r="C407" s="219"/>
      <c r="D407" s="219"/>
      <c r="E407" s="219">
        <v>2170.79</v>
      </c>
      <c r="F407" s="219"/>
      <c r="G407" s="219">
        <f>2414.98+124.89</f>
        <v>2539.87</v>
      </c>
      <c r="H407" s="260"/>
      <c r="I407" s="490">
        <v>3000</v>
      </c>
      <c r="J407" s="260">
        <v>3000</v>
      </c>
      <c r="K407" s="260"/>
      <c r="L407" s="260">
        <v>3000</v>
      </c>
      <c r="M407" s="169">
        <f t="shared" si="72"/>
        <v>0</v>
      </c>
      <c r="N407" s="198"/>
      <c r="P407" s="219"/>
    </row>
    <row r="408" spans="1:16" s="197" customFormat="1" ht="12" customHeight="1">
      <c r="A408" s="518" t="s">
        <v>1414</v>
      </c>
      <c r="B408" s="197" t="s">
        <v>1415</v>
      </c>
      <c r="C408" s="219"/>
      <c r="D408" s="219"/>
      <c r="E408" s="219"/>
      <c r="F408" s="219"/>
      <c r="G408" s="219">
        <v>139.9</v>
      </c>
      <c r="H408" s="260"/>
      <c r="I408" s="490"/>
      <c r="J408" s="260"/>
      <c r="K408" s="260"/>
      <c r="L408" s="260"/>
      <c r="M408" s="169"/>
      <c r="N408" s="198"/>
      <c r="P408" s="219"/>
    </row>
    <row r="409" spans="1:16" s="197" customFormat="1" ht="12.95" customHeight="1">
      <c r="A409" s="196" t="s">
        <v>514</v>
      </c>
      <c r="B409" s="197" t="s">
        <v>920</v>
      </c>
      <c r="C409" s="219">
        <v>9164</v>
      </c>
      <c r="D409" s="219">
        <v>14275</v>
      </c>
      <c r="E409" s="219">
        <v>6912.05</v>
      </c>
      <c r="F409" s="219"/>
      <c r="G409" s="219"/>
      <c r="H409" s="260"/>
      <c r="I409" s="490">
        <v>9500</v>
      </c>
      <c r="J409" s="260">
        <v>9500</v>
      </c>
      <c r="K409" s="260"/>
      <c r="L409" s="260">
        <v>9500</v>
      </c>
      <c r="M409" s="169">
        <f t="shared" si="72"/>
        <v>0</v>
      </c>
      <c r="N409" s="198"/>
      <c r="P409" s="219"/>
    </row>
    <row r="410" spans="1:16" s="197" customFormat="1" ht="12.95" customHeight="1">
      <c r="A410" s="519" t="s">
        <v>1416</v>
      </c>
      <c r="B410" s="197" t="s">
        <v>1417</v>
      </c>
      <c r="C410" s="219"/>
      <c r="D410" s="219"/>
      <c r="E410" s="219"/>
      <c r="F410" s="219"/>
      <c r="G410" s="219">
        <v>1442.22</v>
      </c>
      <c r="H410" s="260"/>
      <c r="I410" s="490"/>
      <c r="J410" s="260"/>
      <c r="K410" s="260"/>
      <c r="L410" s="260"/>
      <c r="M410" s="169"/>
      <c r="N410" s="198"/>
      <c r="P410" s="219"/>
    </row>
    <row r="411" spans="1:16" s="197" customFormat="1" ht="12.95" customHeight="1">
      <c r="A411" s="196" t="s">
        <v>923</v>
      </c>
      <c r="B411" s="197" t="s">
        <v>924</v>
      </c>
      <c r="C411" s="219"/>
      <c r="D411" s="219"/>
      <c r="E411" s="219">
        <v>14566.73</v>
      </c>
      <c r="F411" s="219"/>
      <c r="G411" s="219">
        <v>500</v>
      </c>
      <c r="H411" s="260"/>
      <c r="I411" s="490">
        <v>15000</v>
      </c>
      <c r="J411" s="260">
        <v>15000</v>
      </c>
      <c r="K411" s="260"/>
      <c r="L411" s="260">
        <v>15000</v>
      </c>
      <c r="M411" s="169">
        <f t="shared" si="72"/>
        <v>0</v>
      </c>
      <c r="N411" s="198"/>
      <c r="P411" s="219"/>
    </row>
    <row r="412" spans="1:16" s="197" customFormat="1" ht="12.95" customHeight="1">
      <c r="A412" s="196" t="s">
        <v>1418</v>
      </c>
      <c r="B412" s="197" t="s">
        <v>1419</v>
      </c>
      <c r="C412" s="219"/>
      <c r="D412" s="219"/>
      <c r="E412" s="219"/>
      <c r="F412" s="219"/>
      <c r="G412" s="219">
        <v>68.94</v>
      </c>
      <c r="H412" s="260"/>
      <c r="I412" s="490"/>
      <c r="J412" s="260"/>
      <c r="K412" s="260"/>
      <c r="L412" s="260"/>
      <c r="M412" s="169"/>
      <c r="N412" s="198"/>
      <c r="P412" s="219"/>
    </row>
    <row r="413" spans="1:16" s="197" customFormat="1" ht="12.95" customHeight="1">
      <c r="A413" s="196" t="s">
        <v>922</v>
      </c>
      <c r="B413" s="197" t="s">
        <v>837</v>
      </c>
      <c r="C413" s="219"/>
      <c r="D413" s="219">
        <v>42.6</v>
      </c>
      <c r="E413" s="219"/>
      <c r="F413" s="219"/>
      <c r="G413" s="219"/>
      <c r="H413" s="260"/>
      <c r="I413" s="490">
        <v>116124.71</v>
      </c>
      <c r="J413" s="260">
        <v>101989.14</v>
      </c>
      <c r="K413" s="260"/>
      <c r="L413" s="260">
        <v>145177.20000000001</v>
      </c>
      <c r="M413" s="169">
        <f t="shared" si="72"/>
        <v>43188.060000000012</v>
      </c>
      <c r="N413" s="198"/>
      <c r="P413" s="219"/>
    </row>
    <row r="414" spans="1:16" s="197" customFormat="1" ht="12.95" customHeight="1">
      <c r="A414" s="196" t="s">
        <v>921</v>
      </c>
      <c r="B414" s="197" t="s">
        <v>919</v>
      </c>
      <c r="C414" s="219"/>
      <c r="D414" s="219">
        <v>1620</v>
      </c>
      <c r="E414" s="219">
        <v>1820</v>
      </c>
      <c r="F414" s="219"/>
      <c r="G414" s="219">
        <v>2230</v>
      </c>
      <c r="H414" s="260"/>
      <c r="I414" s="490">
        <v>2660</v>
      </c>
      <c r="J414" s="260">
        <v>2660</v>
      </c>
      <c r="K414" s="260"/>
      <c r="L414" s="260">
        <v>2660</v>
      </c>
      <c r="M414" s="169">
        <f t="shared" si="72"/>
        <v>0</v>
      </c>
      <c r="N414" s="198"/>
      <c r="P414" s="219"/>
    </row>
    <row r="415" spans="1:16">
      <c r="A415" s="170"/>
    </row>
    <row r="416" spans="1:16">
      <c r="A416" s="176">
        <v>125</v>
      </c>
      <c r="B416" s="167" t="s">
        <v>21</v>
      </c>
      <c r="C416" s="171">
        <f>SUM(C398:C415)</f>
        <v>9164</v>
      </c>
      <c r="D416" s="220">
        <f>SUM(D398:D415)</f>
        <v>70158.100000000006</v>
      </c>
      <c r="E416" s="220">
        <f>SUM(E398:E415)</f>
        <v>102986.09999999999</v>
      </c>
      <c r="F416" s="220"/>
      <c r="G416" s="220">
        <f>SUM(G398:G415)</f>
        <v>92526.67</v>
      </c>
      <c r="H416" s="171"/>
      <c r="I416" s="493">
        <f>SUM(I398:I415)</f>
        <v>244455.1428</v>
      </c>
      <c r="J416" s="171">
        <f>SUM(J398:J415)</f>
        <v>244455.14</v>
      </c>
      <c r="K416" s="171"/>
      <c r="L416" s="171">
        <f>SUM(L398:L415)</f>
        <v>294488.80000000005</v>
      </c>
      <c r="M416" s="171">
        <f>SUM(M398:M415)</f>
        <v>50033.660000000011</v>
      </c>
      <c r="N416" s="164" t="s">
        <v>198</v>
      </c>
      <c r="P416" s="229">
        <f>REVENUE!J74+REVENUE!J73-EXPENSE!L416</f>
        <v>0</v>
      </c>
    </row>
    <row r="417" spans="1:16">
      <c r="A417" s="175"/>
      <c r="P417" s="164"/>
    </row>
    <row r="418" spans="1:16">
      <c r="A418" s="196"/>
      <c r="B418" s="199" t="s">
        <v>401</v>
      </c>
      <c r="C418" s="230">
        <v>20535.47</v>
      </c>
      <c r="D418" s="219">
        <f>33658.99+3238.87</f>
        <v>36897.86</v>
      </c>
      <c r="E418" s="219">
        <f>33461.51+8428.72</f>
        <v>41890.230000000003</v>
      </c>
      <c r="F418" s="219"/>
      <c r="G418" s="219">
        <f>28918.61+16744.32</f>
        <v>45662.93</v>
      </c>
      <c r="H418" s="260"/>
      <c r="I418" s="490">
        <v>48878.27</v>
      </c>
      <c r="J418" s="260">
        <v>32894.959999999999</v>
      </c>
      <c r="K418" s="260"/>
      <c r="L418" s="260">
        <v>32000</v>
      </c>
      <c r="M418" s="169">
        <f t="shared" ref="M418:M435" si="73">L418-J418</f>
        <v>-894.95999999999913</v>
      </c>
      <c r="P418" s="164"/>
    </row>
    <row r="419" spans="1:16">
      <c r="A419" s="196"/>
      <c r="B419" s="199" t="s">
        <v>405</v>
      </c>
      <c r="C419" s="230">
        <v>9508.85</v>
      </c>
      <c r="D419" s="219">
        <f>844.46+16522.88</f>
        <v>17367.34</v>
      </c>
      <c r="E419" s="219">
        <f>5191.36+10974.08</f>
        <v>16165.439999999999</v>
      </c>
      <c r="F419" s="219"/>
      <c r="G419" s="219">
        <f>12636</f>
        <v>12636</v>
      </c>
      <c r="H419" s="260"/>
      <c r="I419" s="490">
        <v>14230</v>
      </c>
      <c r="J419" s="260">
        <v>14230</v>
      </c>
      <c r="K419" s="260"/>
      <c r="L419" s="260">
        <v>14230</v>
      </c>
      <c r="M419" s="169">
        <f t="shared" si="73"/>
        <v>0</v>
      </c>
      <c r="P419" s="164"/>
    </row>
    <row r="420" spans="1:16">
      <c r="A420" s="196"/>
      <c r="B420" s="199" t="s">
        <v>1017</v>
      </c>
      <c r="C420" s="230"/>
      <c r="D420" s="219"/>
      <c r="E420" s="219">
        <v>205.88</v>
      </c>
      <c r="F420" s="219"/>
      <c r="G420" s="219">
        <f>113.91+899.78</f>
        <v>1013.6899999999999</v>
      </c>
      <c r="H420" s="260"/>
      <c r="I420" s="490">
        <f>113.91+1800</f>
        <v>1913.91</v>
      </c>
      <c r="J420" s="260">
        <f>113.91+1800</f>
        <v>1913.91</v>
      </c>
      <c r="K420" s="260"/>
      <c r="L420" s="260">
        <f t="shared" ref="L420" si="74">113.91+1800</f>
        <v>1913.91</v>
      </c>
      <c r="M420" s="169">
        <f t="shared" si="73"/>
        <v>0</v>
      </c>
      <c r="P420" s="164"/>
    </row>
    <row r="421" spans="1:16">
      <c r="A421" s="196"/>
      <c r="B421" s="199" t="s">
        <v>402</v>
      </c>
      <c r="C421" s="230">
        <v>3140.55</v>
      </c>
      <c r="D421" s="219">
        <f>1475.08+147.03</f>
        <v>1622.11</v>
      </c>
      <c r="E421" s="219">
        <f>12788.15</f>
        <v>12788.15</v>
      </c>
      <c r="F421" s="219"/>
      <c r="G421" s="219">
        <f>12682.98+8511.99</f>
        <v>21194.97</v>
      </c>
      <c r="H421" s="260"/>
      <c r="I421" s="490">
        <f>13412.44+9470</f>
        <v>22882.440000000002</v>
      </c>
      <c r="J421" s="260">
        <v>0</v>
      </c>
      <c r="K421" s="260"/>
      <c r="L421" s="260">
        <v>0</v>
      </c>
      <c r="M421" s="169">
        <f t="shared" si="73"/>
        <v>0</v>
      </c>
      <c r="P421" s="164"/>
    </row>
    <row r="422" spans="1:16">
      <c r="A422" s="196"/>
      <c r="B422" s="199" t="s">
        <v>973</v>
      </c>
      <c r="C422" s="230"/>
      <c r="D422" s="219">
        <v>605.66999999999996</v>
      </c>
      <c r="E422" s="219">
        <v>4296.74</v>
      </c>
      <c r="F422" s="219"/>
      <c r="G422" s="219"/>
      <c r="H422" s="260"/>
      <c r="I422" s="490"/>
      <c r="J422" s="260"/>
      <c r="K422" s="260"/>
      <c r="L422" s="260"/>
      <c r="M422" s="169">
        <f t="shared" si="73"/>
        <v>0</v>
      </c>
      <c r="P422" s="164"/>
    </row>
    <row r="423" spans="1:16">
      <c r="A423" s="196"/>
      <c r="B423" s="199" t="s">
        <v>403</v>
      </c>
      <c r="C423" s="230">
        <v>5248.89</v>
      </c>
      <c r="D423" s="219">
        <f>10004.1+1003.45</f>
        <v>11007.550000000001</v>
      </c>
      <c r="E423" s="398">
        <f>13354.37+3363.88</f>
        <v>16718.25</v>
      </c>
      <c r="F423" s="398"/>
      <c r="G423" s="398">
        <f>12255.19+7153.11</f>
        <v>19408.3</v>
      </c>
      <c r="H423" s="288"/>
      <c r="I423" s="491">
        <f>21643.3</f>
        <v>21643.3</v>
      </c>
      <c r="J423" s="288">
        <v>14565</v>
      </c>
      <c r="K423" s="288"/>
      <c r="L423" s="288">
        <v>14565</v>
      </c>
      <c r="M423" s="169">
        <f t="shared" si="73"/>
        <v>0</v>
      </c>
      <c r="P423" s="164"/>
    </row>
    <row r="424" spans="1:16">
      <c r="A424" s="196"/>
      <c r="B424" s="199" t="s">
        <v>1319</v>
      </c>
      <c r="C424" s="230">
        <v>1679.38</v>
      </c>
      <c r="D424" s="219">
        <f>215.85+4950.26</f>
        <v>5166.1100000000006</v>
      </c>
      <c r="E424" s="398">
        <f>3.3+82.16</f>
        <v>85.46</v>
      </c>
      <c r="F424" s="398"/>
      <c r="G424" s="398">
        <f>50.39+400.13</f>
        <v>450.52</v>
      </c>
      <c r="H424" s="288"/>
      <c r="I424" s="491">
        <v>850</v>
      </c>
      <c r="J424" s="288">
        <v>850</v>
      </c>
      <c r="K424" s="288"/>
      <c r="L424" s="288">
        <v>850</v>
      </c>
      <c r="M424" s="169">
        <f t="shared" si="73"/>
        <v>0</v>
      </c>
      <c r="P424" s="164"/>
    </row>
    <row r="425" spans="1:16">
      <c r="A425" s="196"/>
      <c r="B425" s="199" t="s">
        <v>404</v>
      </c>
      <c r="C425" s="230">
        <v>1570.97</v>
      </c>
      <c r="D425" s="219">
        <f>2799.34+275.9</f>
        <v>3075.2400000000002</v>
      </c>
      <c r="E425" s="398">
        <f>599+2401.7</f>
        <v>3000.7</v>
      </c>
      <c r="F425" s="398"/>
      <c r="G425" s="398">
        <f>2078.67+1214.95</f>
        <v>3293.62</v>
      </c>
      <c r="H425" s="288"/>
      <c r="I425" s="491">
        <v>3739.19</v>
      </c>
      <c r="J425" s="288">
        <v>2791.86</v>
      </c>
      <c r="K425" s="288"/>
      <c r="L425" s="288">
        <v>2791.86</v>
      </c>
      <c r="M425" s="169">
        <f t="shared" si="73"/>
        <v>0</v>
      </c>
      <c r="P425" s="164"/>
    </row>
    <row r="426" spans="1:16">
      <c r="A426" s="196"/>
      <c r="B426" s="199" t="s">
        <v>406</v>
      </c>
      <c r="C426" s="230">
        <v>689.83</v>
      </c>
      <c r="D426" s="219">
        <f>64.6+1264</f>
        <v>1328.6</v>
      </c>
      <c r="E426" s="398">
        <f>397.12+839.55</f>
        <v>1236.67</v>
      </c>
      <c r="F426" s="398"/>
      <c r="G426" s="398">
        <f>966.67</f>
        <v>966.67</v>
      </c>
      <c r="H426" s="288"/>
      <c r="I426" s="491">
        <v>1088.5999999999999</v>
      </c>
      <c r="J426" s="288">
        <v>1088.5999999999999</v>
      </c>
      <c r="K426" s="288"/>
      <c r="L426" s="288">
        <v>1088.5999999999999</v>
      </c>
      <c r="M426" s="169">
        <f t="shared" si="73"/>
        <v>0</v>
      </c>
      <c r="P426" s="164"/>
    </row>
    <row r="427" spans="1:16">
      <c r="A427" s="196"/>
      <c r="B427" s="199" t="s">
        <v>1213</v>
      </c>
      <c r="C427" s="230"/>
      <c r="D427" s="219"/>
      <c r="E427" s="398">
        <v>15.27</v>
      </c>
      <c r="F427" s="398"/>
      <c r="G427" s="398">
        <f>8.67+68.84</f>
        <v>77.510000000000005</v>
      </c>
      <c r="H427" s="288"/>
      <c r="I427" s="491">
        <f>8.67+140</f>
        <v>148.66999999999999</v>
      </c>
      <c r="J427" s="288">
        <f>8.67+140</f>
        <v>148.66999999999999</v>
      </c>
      <c r="K427" s="288"/>
      <c r="L427" s="288">
        <f t="shared" ref="L427" si="75">8.67+140</f>
        <v>148.66999999999999</v>
      </c>
      <c r="M427" s="169">
        <f t="shared" si="73"/>
        <v>0</v>
      </c>
      <c r="P427" s="164"/>
    </row>
    <row r="428" spans="1:16">
      <c r="A428" s="196"/>
      <c r="B428" s="199" t="s">
        <v>971</v>
      </c>
      <c r="C428" s="230"/>
      <c r="D428" s="219">
        <f>2932.42+367.58</f>
        <v>3300</v>
      </c>
      <c r="E428" s="398"/>
      <c r="F428" s="398"/>
      <c r="G428" s="398"/>
      <c r="H428" s="288"/>
      <c r="I428" s="491"/>
      <c r="J428" s="260">
        <v>3600</v>
      </c>
      <c r="K428" s="260"/>
      <c r="L428" s="260">
        <v>3600</v>
      </c>
      <c r="M428" s="169">
        <f t="shared" si="73"/>
        <v>0</v>
      </c>
      <c r="P428" s="164"/>
    </row>
    <row r="429" spans="1:16">
      <c r="A429" s="196"/>
      <c r="B429" s="199" t="s">
        <v>1210</v>
      </c>
      <c r="C429" s="230"/>
      <c r="D429" s="219">
        <v>3241.85</v>
      </c>
      <c r="E429" s="219">
        <f>-1530.85</f>
        <v>-1530.85</v>
      </c>
      <c r="F429" s="219"/>
      <c r="G429" s="219"/>
      <c r="H429" s="260"/>
      <c r="I429" s="490">
        <v>1500</v>
      </c>
      <c r="J429" s="260">
        <v>1500</v>
      </c>
      <c r="K429" s="260"/>
      <c r="L429" s="260">
        <v>1500</v>
      </c>
      <c r="M429" s="169">
        <f t="shared" si="73"/>
        <v>0</v>
      </c>
      <c r="P429" s="164"/>
    </row>
    <row r="430" spans="1:16">
      <c r="A430" s="196"/>
      <c r="B430" s="199" t="s">
        <v>1211</v>
      </c>
      <c r="C430" s="230"/>
      <c r="D430" s="219"/>
      <c r="E430" s="219">
        <v>236</v>
      </c>
      <c r="F430" s="219"/>
      <c r="G430" s="219">
        <v>236</v>
      </c>
      <c r="H430" s="260"/>
      <c r="I430" s="490">
        <v>1500</v>
      </c>
      <c r="J430" s="260">
        <v>1500</v>
      </c>
      <c r="K430" s="260"/>
      <c r="L430" s="260">
        <v>1500</v>
      </c>
      <c r="M430" s="169">
        <f t="shared" si="73"/>
        <v>0</v>
      </c>
      <c r="P430" s="164"/>
    </row>
    <row r="431" spans="1:16">
      <c r="A431" s="196"/>
      <c r="B431" s="199" t="s">
        <v>1018</v>
      </c>
      <c r="C431" s="230"/>
      <c r="D431" s="219"/>
      <c r="E431" s="219">
        <v>48.13</v>
      </c>
      <c r="F431" s="219"/>
      <c r="G431" s="219">
        <v>16.79</v>
      </c>
      <c r="H431" s="260"/>
      <c r="I431" s="490">
        <v>400</v>
      </c>
      <c r="J431" s="260">
        <v>400</v>
      </c>
      <c r="K431" s="260"/>
      <c r="L431" s="260">
        <v>400</v>
      </c>
      <c r="M431" s="169">
        <f t="shared" si="73"/>
        <v>0</v>
      </c>
      <c r="P431" s="164"/>
    </row>
    <row r="432" spans="1:16">
      <c r="A432" s="196"/>
      <c r="B432" s="199" t="s">
        <v>1019</v>
      </c>
      <c r="C432" s="230"/>
      <c r="D432" s="219"/>
      <c r="E432" s="219"/>
      <c r="F432" s="219"/>
      <c r="G432" s="219"/>
      <c r="H432" s="260"/>
      <c r="I432" s="490"/>
      <c r="J432" s="260"/>
      <c r="K432" s="260"/>
      <c r="L432" s="260"/>
      <c r="M432" s="169">
        <f t="shared" si="73"/>
        <v>0</v>
      </c>
      <c r="P432" s="164"/>
    </row>
    <row r="433" spans="1:16">
      <c r="A433" s="196"/>
      <c r="B433" s="199" t="s">
        <v>1320</v>
      </c>
      <c r="C433" s="230"/>
      <c r="D433" s="219">
        <v>500</v>
      </c>
      <c r="E433" s="219">
        <f>150.96+1040.1</f>
        <v>1191.06</v>
      </c>
      <c r="F433" s="219"/>
      <c r="G433" s="219">
        <f>69.74+35.46</f>
        <v>105.19999999999999</v>
      </c>
      <c r="H433" s="260"/>
      <c r="I433" s="490">
        <f>69.74+1000</f>
        <v>1069.74</v>
      </c>
      <c r="J433" s="260">
        <f>69.74+1000</f>
        <v>1069.74</v>
      </c>
      <c r="K433" s="260"/>
      <c r="L433" s="260">
        <f t="shared" ref="L433" si="76">69.74+1000</f>
        <v>1069.74</v>
      </c>
      <c r="M433" s="169">
        <f t="shared" si="73"/>
        <v>0</v>
      </c>
      <c r="P433" s="164"/>
    </row>
    <row r="434" spans="1:16">
      <c r="A434" s="196"/>
      <c r="B434" s="199" t="s">
        <v>1021</v>
      </c>
      <c r="C434" s="230"/>
      <c r="D434" s="219"/>
      <c r="E434" s="219"/>
      <c r="F434" s="219"/>
      <c r="G434" s="219"/>
      <c r="H434" s="260"/>
      <c r="I434" s="490">
        <v>600</v>
      </c>
      <c r="J434" s="260">
        <v>600</v>
      </c>
      <c r="K434" s="260"/>
      <c r="L434" s="260">
        <v>600</v>
      </c>
      <c r="M434" s="169">
        <f t="shared" si="73"/>
        <v>0</v>
      </c>
      <c r="P434" s="164"/>
    </row>
    <row r="435" spans="1:16">
      <c r="A435" s="196"/>
      <c r="B435" s="199" t="s">
        <v>813</v>
      </c>
      <c r="C435" s="230"/>
      <c r="D435" s="219">
        <f>-15.93+31.86</f>
        <v>15.93</v>
      </c>
      <c r="E435" s="219">
        <v>1243.17</v>
      </c>
      <c r="F435" s="219"/>
      <c r="G435" s="219">
        <f>9.97+116.82</f>
        <v>126.78999999999999</v>
      </c>
      <c r="H435" s="260"/>
      <c r="I435" s="490">
        <v>0</v>
      </c>
      <c r="J435" s="260">
        <v>0</v>
      </c>
      <c r="K435" s="260"/>
      <c r="L435" s="260">
        <v>0</v>
      </c>
      <c r="M435" s="169">
        <f t="shared" si="73"/>
        <v>0</v>
      </c>
      <c r="P435" s="164"/>
    </row>
    <row r="436" spans="1:16" ht="48" thickBot="1">
      <c r="A436" s="218" t="s">
        <v>26</v>
      </c>
      <c r="B436" s="166" t="s">
        <v>25</v>
      </c>
      <c r="C436" s="228">
        <f>Summary!D392</f>
        <v>0</v>
      </c>
      <c r="D436" s="282" t="str">
        <f>D7</f>
        <v>2018/2019 Actual</v>
      </c>
      <c r="E436" s="282" t="str">
        <f>E7</f>
        <v>2019/2020 Actual</v>
      </c>
      <c r="F436" s="282"/>
      <c r="G436" s="282" t="str">
        <f>G7</f>
        <v>2020/2021 Actual</v>
      </c>
      <c r="H436" s="287"/>
      <c r="I436" s="489" t="e">
        <f>I7</f>
        <v>#REF!</v>
      </c>
      <c r="J436" s="287" t="str">
        <f>J7</f>
        <v xml:space="preserve">2021-2022 Approved Budget </v>
      </c>
      <c r="K436" s="287"/>
      <c r="L436" s="287" t="str">
        <f>L7</f>
        <v xml:space="preserve">2021-2022 Amended Budget </v>
      </c>
      <c r="M436" s="508" t="s">
        <v>89</v>
      </c>
      <c r="N436" s="167" t="s">
        <v>110</v>
      </c>
      <c r="P436" s="164"/>
    </row>
    <row r="437" spans="1:16">
      <c r="A437" s="196"/>
      <c r="B437" s="199" t="s">
        <v>1020</v>
      </c>
      <c r="C437" s="230"/>
      <c r="D437" s="219"/>
      <c r="E437" s="219"/>
      <c r="F437" s="219"/>
      <c r="G437" s="219"/>
      <c r="H437" s="260"/>
      <c r="I437" s="490">
        <v>0</v>
      </c>
      <c r="J437" s="260">
        <v>0</v>
      </c>
      <c r="K437" s="260"/>
      <c r="L437" s="260">
        <v>0</v>
      </c>
      <c r="M437" s="169">
        <f t="shared" ref="M437:M480" si="77">L437-J437</f>
        <v>0</v>
      </c>
      <c r="P437" s="164"/>
    </row>
    <row r="438" spans="1:16">
      <c r="A438" s="196"/>
      <c r="B438" s="199" t="s">
        <v>1022</v>
      </c>
      <c r="C438" s="230"/>
      <c r="D438" s="219"/>
      <c r="E438" s="219"/>
      <c r="F438" s="219"/>
      <c r="G438" s="219">
        <f>39.88</f>
        <v>39.880000000000003</v>
      </c>
      <c r="H438" s="260"/>
      <c r="I438" s="490"/>
      <c r="J438" s="260"/>
      <c r="K438" s="260"/>
      <c r="L438" s="260"/>
      <c r="M438" s="169">
        <f t="shared" si="77"/>
        <v>0</v>
      </c>
      <c r="P438" s="164"/>
    </row>
    <row r="439" spans="1:16">
      <c r="A439" s="196"/>
      <c r="B439" s="199" t="s">
        <v>897</v>
      </c>
      <c r="C439" s="230"/>
      <c r="D439" s="219">
        <v>66.19</v>
      </c>
      <c r="E439" s="219">
        <v>147.56</v>
      </c>
      <c r="F439" s="219"/>
      <c r="G439" s="219"/>
      <c r="H439" s="260"/>
      <c r="I439" s="490"/>
      <c r="J439" s="260"/>
      <c r="K439" s="260"/>
      <c r="L439" s="260"/>
      <c r="M439" s="169">
        <f t="shared" si="77"/>
        <v>0</v>
      </c>
      <c r="P439" s="164"/>
    </row>
    <row r="440" spans="1:16">
      <c r="A440" s="196"/>
      <c r="B440" s="199" t="s">
        <v>814</v>
      </c>
      <c r="C440" s="230"/>
      <c r="D440" s="219"/>
      <c r="E440" s="219"/>
      <c r="F440" s="219"/>
      <c r="G440" s="219"/>
      <c r="H440" s="260"/>
      <c r="I440" s="490"/>
      <c r="J440" s="260"/>
      <c r="K440" s="260"/>
      <c r="L440" s="260"/>
      <c r="M440" s="169">
        <f t="shared" si="77"/>
        <v>0</v>
      </c>
      <c r="P440" s="164"/>
    </row>
    <row r="441" spans="1:16">
      <c r="A441" s="196"/>
      <c r="B441" s="199" t="s">
        <v>1023</v>
      </c>
      <c r="C441" s="230"/>
      <c r="D441" s="219"/>
      <c r="E441" s="219"/>
      <c r="F441" s="219"/>
      <c r="G441" s="219"/>
      <c r="H441" s="260"/>
      <c r="I441" s="490"/>
      <c r="J441" s="260"/>
      <c r="K441" s="260"/>
      <c r="L441" s="260"/>
      <c r="M441" s="169">
        <f t="shared" si="77"/>
        <v>0</v>
      </c>
      <c r="P441" s="164"/>
    </row>
    <row r="442" spans="1:16">
      <c r="A442" s="196"/>
      <c r="B442" s="199" t="s">
        <v>815</v>
      </c>
      <c r="C442" s="230"/>
      <c r="D442" s="219"/>
      <c r="E442" s="219">
        <f>1139.73</f>
        <v>1139.73</v>
      </c>
      <c r="F442" s="219"/>
      <c r="G442" s="219"/>
      <c r="H442" s="260"/>
      <c r="I442" s="490">
        <v>0</v>
      </c>
      <c r="J442" s="260">
        <v>0</v>
      </c>
      <c r="K442" s="260"/>
      <c r="L442" s="260">
        <v>0</v>
      </c>
      <c r="M442" s="169">
        <f t="shared" si="77"/>
        <v>0</v>
      </c>
      <c r="P442" s="164"/>
    </row>
    <row r="443" spans="1:16">
      <c r="A443" s="196"/>
      <c r="B443" s="199" t="s">
        <v>816</v>
      </c>
      <c r="C443" s="230"/>
      <c r="D443" s="219">
        <v>1500</v>
      </c>
      <c r="E443" s="219"/>
      <c r="F443" s="219"/>
      <c r="G443" s="219"/>
      <c r="H443" s="260"/>
      <c r="I443" s="490">
        <v>0</v>
      </c>
      <c r="J443" s="260">
        <v>0</v>
      </c>
      <c r="K443" s="260"/>
      <c r="L443" s="260">
        <v>0</v>
      </c>
      <c r="M443" s="169">
        <f t="shared" si="77"/>
        <v>0</v>
      </c>
      <c r="P443" s="164"/>
    </row>
    <row r="444" spans="1:16">
      <c r="A444" s="196"/>
      <c r="B444" s="199" t="s">
        <v>817</v>
      </c>
      <c r="C444" s="230"/>
      <c r="D444" s="219">
        <v>392.7</v>
      </c>
      <c r="E444" s="398"/>
      <c r="F444" s="398"/>
      <c r="G444" s="398"/>
      <c r="H444" s="288"/>
      <c r="I444" s="491">
        <v>685</v>
      </c>
      <c r="J444" s="288">
        <v>685</v>
      </c>
      <c r="K444" s="288"/>
      <c r="L444" s="288">
        <v>685</v>
      </c>
      <c r="M444" s="169">
        <f t="shared" si="77"/>
        <v>0</v>
      </c>
      <c r="P444" s="164"/>
    </row>
    <row r="445" spans="1:16">
      <c r="A445" s="196"/>
      <c r="B445" s="199" t="s">
        <v>818</v>
      </c>
      <c r="C445" s="230"/>
      <c r="D445" s="219">
        <v>114.75</v>
      </c>
      <c r="E445" s="398"/>
      <c r="F445" s="398"/>
      <c r="G445" s="398"/>
      <c r="H445" s="288"/>
      <c r="I445" s="491">
        <v>115</v>
      </c>
      <c r="J445" s="288">
        <v>115</v>
      </c>
      <c r="K445" s="288"/>
      <c r="L445" s="288">
        <v>115</v>
      </c>
      <c r="M445" s="169">
        <f t="shared" si="77"/>
        <v>0</v>
      </c>
      <c r="P445" s="164"/>
    </row>
    <row r="446" spans="1:16">
      <c r="A446" s="196"/>
      <c r="B446" s="199" t="s">
        <v>1321</v>
      </c>
      <c r="C446" s="230"/>
      <c r="D446" s="219"/>
      <c r="E446" s="398"/>
      <c r="F446" s="398"/>
      <c r="G446" s="219">
        <f>175.2</f>
        <v>175.2</v>
      </c>
      <c r="H446" s="260"/>
      <c r="I446" s="490">
        <f>175.2+400</f>
        <v>575.20000000000005</v>
      </c>
      <c r="J446" s="260">
        <f>175.2+400</f>
        <v>575.20000000000005</v>
      </c>
      <c r="K446" s="260"/>
      <c r="L446" s="260">
        <f t="shared" ref="L446" si="78">175.2+400</f>
        <v>575.20000000000005</v>
      </c>
      <c r="M446" s="169">
        <f t="shared" si="77"/>
        <v>0</v>
      </c>
      <c r="P446" s="164"/>
    </row>
    <row r="447" spans="1:16">
      <c r="A447" s="196"/>
      <c r="B447" s="199" t="s">
        <v>821</v>
      </c>
      <c r="C447" s="230">
        <v>1403.85</v>
      </c>
      <c r="D447" s="219"/>
      <c r="E447" s="219"/>
      <c r="F447" s="219"/>
      <c r="G447" s="219"/>
      <c r="H447" s="260"/>
      <c r="I447" s="490">
        <v>500</v>
      </c>
      <c r="J447" s="260">
        <v>500</v>
      </c>
      <c r="K447" s="260"/>
      <c r="L447" s="260">
        <v>500</v>
      </c>
      <c r="M447" s="169">
        <f t="shared" si="77"/>
        <v>0</v>
      </c>
      <c r="P447" s="164"/>
    </row>
    <row r="448" spans="1:16">
      <c r="A448" s="196"/>
      <c r="B448" s="199" t="s">
        <v>866</v>
      </c>
      <c r="C448" s="230">
        <v>70</v>
      </c>
      <c r="D448" s="219"/>
      <c r="E448" s="219"/>
      <c r="F448" s="219"/>
      <c r="G448" s="219"/>
      <c r="H448" s="260"/>
      <c r="I448" s="490"/>
      <c r="J448" s="260"/>
      <c r="K448" s="260"/>
      <c r="L448" s="260"/>
      <c r="M448" s="169">
        <f t="shared" si="77"/>
        <v>0</v>
      </c>
      <c r="P448" s="164"/>
    </row>
    <row r="449" spans="1:16">
      <c r="A449" s="196"/>
      <c r="B449" s="199" t="s">
        <v>819</v>
      </c>
      <c r="C449" s="230">
        <v>358.83</v>
      </c>
      <c r="D449" s="219"/>
      <c r="E449" s="398"/>
      <c r="F449" s="398"/>
      <c r="G449" s="398"/>
      <c r="H449" s="288"/>
      <c r="I449" s="491"/>
      <c r="J449" s="288"/>
      <c r="K449" s="288"/>
      <c r="L449" s="288"/>
      <c r="M449" s="169">
        <f t="shared" si="77"/>
        <v>0</v>
      </c>
    </row>
    <row r="450" spans="1:16">
      <c r="A450" s="196"/>
      <c r="B450" s="199" t="s">
        <v>820</v>
      </c>
      <c r="C450" s="230">
        <v>107.4</v>
      </c>
      <c r="D450" s="219"/>
      <c r="E450" s="398"/>
      <c r="F450" s="398"/>
      <c r="G450" s="398"/>
      <c r="H450" s="288"/>
      <c r="I450" s="491"/>
      <c r="J450" s="288"/>
      <c r="K450" s="288"/>
      <c r="L450" s="288"/>
      <c r="M450" s="169">
        <f t="shared" si="77"/>
        <v>0</v>
      </c>
    </row>
    <row r="451" spans="1:16">
      <c r="A451" s="196"/>
      <c r="B451" s="199" t="s">
        <v>822</v>
      </c>
      <c r="C451" s="230">
        <v>395.85</v>
      </c>
      <c r="D451" s="219">
        <v>57.7</v>
      </c>
      <c r="E451" s="219"/>
      <c r="F451" s="219"/>
      <c r="G451" s="219"/>
      <c r="H451" s="260"/>
      <c r="I451" s="490"/>
      <c r="J451" s="260"/>
      <c r="K451" s="260"/>
      <c r="L451" s="260"/>
      <c r="M451" s="169">
        <f t="shared" si="77"/>
        <v>0</v>
      </c>
    </row>
    <row r="452" spans="1:16">
      <c r="A452" s="196"/>
      <c r="B452" s="199" t="s">
        <v>867</v>
      </c>
      <c r="C452" s="230">
        <v>61.02</v>
      </c>
      <c r="D452" s="219">
        <v>6.78</v>
      </c>
      <c r="E452" s="219"/>
      <c r="F452" s="219"/>
      <c r="G452" s="219"/>
      <c r="H452" s="260"/>
      <c r="I452" s="490"/>
      <c r="J452" s="260"/>
      <c r="K452" s="260"/>
      <c r="L452" s="260"/>
      <c r="M452" s="169">
        <f t="shared" si="77"/>
        <v>0</v>
      </c>
    </row>
    <row r="453" spans="1:16">
      <c r="A453" s="196"/>
      <c r="B453" s="199" t="s">
        <v>823</v>
      </c>
      <c r="C453" s="230">
        <v>103.04</v>
      </c>
      <c r="D453" s="219">
        <v>15.02</v>
      </c>
      <c r="E453" s="398"/>
      <c r="F453" s="398"/>
      <c r="G453" s="398"/>
      <c r="H453" s="288"/>
      <c r="I453" s="491"/>
      <c r="J453" s="288"/>
      <c r="K453" s="288"/>
      <c r="L453" s="288"/>
      <c r="M453" s="169">
        <f t="shared" si="77"/>
        <v>0</v>
      </c>
    </row>
    <row r="454" spans="1:16">
      <c r="A454" s="196"/>
      <c r="B454" s="199" t="s">
        <v>824</v>
      </c>
      <c r="C454" s="230">
        <v>30.25</v>
      </c>
      <c r="D454" s="219">
        <v>4.41</v>
      </c>
      <c r="E454" s="398"/>
      <c r="F454" s="398"/>
      <c r="G454" s="398"/>
      <c r="H454" s="288"/>
      <c r="I454" s="491"/>
      <c r="J454" s="288"/>
      <c r="K454" s="288"/>
      <c r="L454" s="288"/>
      <c r="M454" s="169">
        <f t="shared" si="77"/>
        <v>0</v>
      </c>
    </row>
    <row r="455" spans="1:16">
      <c r="A455" s="196"/>
      <c r="B455" s="199" t="s">
        <v>828</v>
      </c>
      <c r="C455" s="230">
        <v>487.47</v>
      </c>
      <c r="D455" s="219">
        <f>62.92+1414.69</f>
        <v>1477.6100000000001</v>
      </c>
      <c r="E455" s="219">
        <f>373.82+810.48</f>
        <v>1184.3</v>
      </c>
      <c r="F455" s="219"/>
      <c r="G455" s="219">
        <f>456.07+807.69</f>
        <v>1263.76</v>
      </c>
      <c r="H455" s="260"/>
      <c r="I455" s="490">
        <f>1200+459.66</f>
        <v>1659.66</v>
      </c>
      <c r="J455" s="260">
        <f>1200+459.66</f>
        <v>1659.66</v>
      </c>
      <c r="K455" s="260"/>
      <c r="L455" s="260">
        <f t="shared" ref="L455" si="79">1200+459.66</f>
        <v>1659.66</v>
      </c>
      <c r="M455" s="169">
        <f t="shared" si="77"/>
        <v>0</v>
      </c>
    </row>
    <row r="456" spans="1:16">
      <c r="A456" s="196"/>
      <c r="B456" s="199" t="s">
        <v>829</v>
      </c>
      <c r="C456" s="230">
        <v>124.6</v>
      </c>
      <c r="D456" s="219">
        <f>585.84+16.08</f>
        <v>601.92000000000007</v>
      </c>
      <c r="E456" s="398">
        <f>114.38+330.19</f>
        <v>444.57</v>
      </c>
      <c r="F456" s="398"/>
      <c r="G456" s="398">
        <f>189.76+347.37</f>
        <v>537.13</v>
      </c>
      <c r="H456" s="288"/>
      <c r="I456" s="491">
        <f>189.93+510</f>
        <v>699.93000000000006</v>
      </c>
      <c r="J456" s="288">
        <f>189.93+510</f>
        <v>699.93000000000006</v>
      </c>
      <c r="K456" s="288"/>
      <c r="L456" s="288">
        <f t="shared" ref="L456" si="80">189.93+510</f>
        <v>699.93000000000006</v>
      </c>
      <c r="M456" s="169">
        <f t="shared" si="77"/>
        <v>0</v>
      </c>
    </row>
    <row r="457" spans="1:16">
      <c r="A457" s="196"/>
      <c r="B457" s="199" t="s">
        <v>827</v>
      </c>
      <c r="C457" s="230">
        <v>37.299999999999997</v>
      </c>
      <c r="D457" s="219">
        <f>185.28+4.81</f>
        <v>190.09</v>
      </c>
      <c r="E457" s="398">
        <f>66.1+61.29</f>
        <v>127.38999999999999</v>
      </c>
      <c r="F457" s="398"/>
      <c r="G457" s="398">
        <f>34.52+61.15</f>
        <v>95.67</v>
      </c>
      <c r="H457" s="288"/>
      <c r="I457" s="491">
        <f>35+90</f>
        <v>125</v>
      </c>
      <c r="J457" s="288">
        <f>35+90</f>
        <v>125</v>
      </c>
      <c r="K457" s="288"/>
      <c r="L457" s="288">
        <f t="shared" ref="L457" si="81">35+90</f>
        <v>125</v>
      </c>
      <c r="M457" s="169">
        <f t="shared" si="77"/>
        <v>0</v>
      </c>
    </row>
    <row r="458" spans="1:16">
      <c r="B458" s="164" t="s">
        <v>834</v>
      </c>
      <c r="D458" s="285">
        <v>366.04</v>
      </c>
      <c r="E458" s="401"/>
      <c r="F458" s="401"/>
      <c r="G458" s="401"/>
      <c r="H458" s="290"/>
      <c r="I458" s="500">
        <v>400</v>
      </c>
      <c r="J458" s="290">
        <v>400</v>
      </c>
      <c r="K458" s="290"/>
      <c r="L458" s="290">
        <v>400</v>
      </c>
      <c r="M458" s="169">
        <f t="shared" si="77"/>
        <v>0</v>
      </c>
    </row>
    <row r="459" spans="1:16">
      <c r="A459" s="196"/>
      <c r="B459" s="199" t="s">
        <v>830</v>
      </c>
      <c r="C459" s="230">
        <v>949.21</v>
      </c>
      <c r="D459" s="219">
        <f>409.57+145.83</f>
        <v>555.4</v>
      </c>
      <c r="E459" s="219">
        <f>14.83+498.69</f>
        <v>513.52</v>
      </c>
      <c r="F459" s="219"/>
      <c r="G459" s="219">
        <f>122.93+308.4</f>
        <v>431.33</v>
      </c>
      <c r="H459" s="260"/>
      <c r="I459" s="490">
        <f>122.93+750</f>
        <v>872.93000000000006</v>
      </c>
      <c r="J459" s="260">
        <f>122.93+750</f>
        <v>872.93000000000006</v>
      </c>
      <c r="K459" s="260"/>
      <c r="L459" s="260">
        <f t="shared" ref="L459" si="82">122.93+750</f>
        <v>872.93000000000006</v>
      </c>
      <c r="M459" s="169">
        <f t="shared" si="77"/>
        <v>0</v>
      </c>
    </row>
    <row r="460" spans="1:16">
      <c r="A460" s="196"/>
      <c r="B460" s="199" t="s">
        <v>831</v>
      </c>
      <c r="C460" s="230">
        <v>1473.63</v>
      </c>
      <c r="D460" s="219">
        <f>635.85+226.37</f>
        <v>862.22</v>
      </c>
      <c r="E460" s="219">
        <f>148.89+631.1</f>
        <v>779.99</v>
      </c>
      <c r="F460" s="219"/>
      <c r="G460" s="219">
        <f>118.03+570.55</f>
        <v>688.57999999999993</v>
      </c>
      <c r="H460" s="260"/>
      <c r="I460" s="490">
        <f>118.03+750</f>
        <v>868.03</v>
      </c>
      <c r="J460" s="260">
        <f>118.03+750</f>
        <v>868.03</v>
      </c>
      <c r="K460" s="260"/>
      <c r="L460" s="260">
        <f t="shared" ref="L460" si="83">118.03+750</f>
        <v>868.03</v>
      </c>
      <c r="M460" s="169">
        <f t="shared" si="77"/>
        <v>0</v>
      </c>
    </row>
    <row r="461" spans="1:16" s="224" customFormat="1">
      <c r="A461" s="196"/>
      <c r="B461" s="199" t="s">
        <v>832</v>
      </c>
      <c r="C461" s="230"/>
      <c r="D461" s="285">
        <f>19.79+528.57-19.79</f>
        <v>528.57000000000005</v>
      </c>
      <c r="G461" s="285">
        <f>121.69+106.01</f>
        <v>227.7</v>
      </c>
      <c r="H461" s="289"/>
      <c r="I461" s="501"/>
      <c r="J461" s="289"/>
      <c r="K461" s="289"/>
      <c r="L461" s="289"/>
      <c r="M461" s="169">
        <f t="shared" si="77"/>
        <v>0</v>
      </c>
      <c r="P461" s="404"/>
    </row>
    <row r="462" spans="1:16">
      <c r="B462" s="164" t="s">
        <v>833</v>
      </c>
      <c r="D462" s="285"/>
      <c r="E462" s="285">
        <f>80.75+192.73</f>
        <v>273.48</v>
      </c>
      <c r="F462" s="285"/>
      <c r="G462" s="401"/>
      <c r="H462" s="290"/>
      <c r="I462" s="500">
        <f>137.57+1000</f>
        <v>1137.57</v>
      </c>
      <c r="J462" s="290">
        <f>137.57+1000</f>
        <v>1137.57</v>
      </c>
      <c r="K462" s="290"/>
      <c r="L462" s="290">
        <f t="shared" ref="L462" si="84">137.57+1000</f>
        <v>1137.57</v>
      </c>
      <c r="M462" s="169">
        <f t="shared" si="77"/>
        <v>0</v>
      </c>
    </row>
    <row r="463" spans="1:16">
      <c r="B463" s="164" t="s">
        <v>1214</v>
      </c>
      <c r="D463" s="285"/>
      <c r="E463" s="285">
        <v>285</v>
      </c>
      <c r="F463" s="285"/>
      <c r="G463" s="401"/>
      <c r="H463" s="290"/>
      <c r="I463" s="500"/>
      <c r="J463" s="290"/>
      <c r="K463" s="290"/>
      <c r="L463" s="290"/>
      <c r="M463" s="169">
        <f t="shared" si="77"/>
        <v>0</v>
      </c>
    </row>
    <row r="464" spans="1:16">
      <c r="B464" s="197" t="s">
        <v>1323</v>
      </c>
      <c r="D464" s="285"/>
      <c r="E464" s="401"/>
      <c r="F464" s="401"/>
      <c r="G464" s="401"/>
      <c r="H464" s="290"/>
      <c r="I464" s="500">
        <v>400</v>
      </c>
      <c r="J464" s="290">
        <v>400</v>
      </c>
      <c r="K464" s="290"/>
      <c r="L464" s="290">
        <v>400</v>
      </c>
      <c r="M464" s="169">
        <f t="shared" si="77"/>
        <v>0</v>
      </c>
    </row>
    <row r="465" spans="1:16" s="197" customFormat="1" ht="12.95" customHeight="1">
      <c r="A465" s="196"/>
      <c r="B465" s="197" t="s">
        <v>730</v>
      </c>
      <c r="C465" s="219">
        <v>590.62</v>
      </c>
      <c r="D465" s="285">
        <f>764.75</f>
        <v>764.75</v>
      </c>
      <c r="E465" s="401">
        <f>2849.21+433.33</f>
        <v>3282.54</v>
      </c>
      <c r="F465" s="401"/>
      <c r="G465" s="401">
        <v>4630.13</v>
      </c>
      <c r="H465" s="290"/>
      <c r="I465" s="500">
        <v>4650</v>
      </c>
      <c r="J465" s="290">
        <v>4650</v>
      </c>
      <c r="K465" s="290"/>
      <c r="L465" s="290">
        <v>4650</v>
      </c>
      <c r="M465" s="169">
        <f t="shared" si="77"/>
        <v>0</v>
      </c>
      <c r="N465" s="198"/>
      <c r="P465" s="219"/>
    </row>
    <row r="466" spans="1:16">
      <c r="B466" s="197" t="s">
        <v>1324</v>
      </c>
      <c r="D466" s="285"/>
      <c r="E466" s="401"/>
      <c r="F466" s="401"/>
      <c r="G466" s="517"/>
      <c r="H466" s="473"/>
      <c r="I466" s="502">
        <v>170</v>
      </c>
      <c r="J466" s="473">
        <v>170</v>
      </c>
      <c r="K466" s="473"/>
      <c r="L466" s="473">
        <v>170</v>
      </c>
      <c r="M466" s="169">
        <f t="shared" si="77"/>
        <v>0</v>
      </c>
    </row>
    <row r="467" spans="1:16" s="197" customFormat="1" ht="12.95" customHeight="1">
      <c r="A467" s="196"/>
      <c r="B467" s="197" t="s">
        <v>731</v>
      </c>
      <c r="C467" s="219">
        <v>150.96</v>
      </c>
      <c r="D467" s="285">
        <f>195.69</f>
        <v>195.69</v>
      </c>
      <c r="E467" s="398">
        <f>1152.04+159.07</f>
        <v>1311.11</v>
      </c>
      <c r="F467" s="398"/>
      <c r="G467" s="398">
        <f>2020.69</f>
        <v>2020.69</v>
      </c>
      <c r="H467" s="288"/>
      <c r="I467" s="491">
        <v>1995</v>
      </c>
      <c r="J467" s="288">
        <v>1995</v>
      </c>
      <c r="K467" s="288"/>
      <c r="L467" s="288">
        <v>1995</v>
      </c>
      <c r="M467" s="169">
        <f t="shared" si="77"/>
        <v>0</v>
      </c>
      <c r="N467" s="198"/>
      <c r="P467" s="219"/>
    </row>
    <row r="468" spans="1:16">
      <c r="B468" s="197" t="s">
        <v>1325</v>
      </c>
      <c r="D468" s="285"/>
      <c r="E468" s="401"/>
      <c r="F468" s="401"/>
      <c r="G468" s="517"/>
      <c r="H468" s="473"/>
      <c r="I468" s="502">
        <v>30</v>
      </c>
      <c r="J468" s="473">
        <v>30</v>
      </c>
      <c r="K468" s="473"/>
      <c r="L468" s="473">
        <v>30</v>
      </c>
      <c r="M468" s="169">
        <f t="shared" si="77"/>
        <v>0</v>
      </c>
    </row>
    <row r="469" spans="1:16" s="197" customFormat="1" ht="12.95" customHeight="1">
      <c r="A469" s="196"/>
      <c r="B469" s="197" t="s">
        <v>732</v>
      </c>
      <c r="C469" s="219">
        <v>45.2</v>
      </c>
      <c r="D469" s="285">
        <f>58.3</f>
        <v>58.3</v>
      </c>
      <c r="E469" s="398">
        <f>213.72+33.43</f>
        <v>247.15</v>
      </c>
      <c r="F469" s="398"/>
      <c r="G469" s="398">
        <v>349.18</v>
      </c>
      <c r="H469" s="288"/>
      <c r="I469" s="491">
        <v>355</v>
      </c>
      <c r="J469" s="288">
        <v>355</v>
      </c>
      <c r="K469" s="288"/>
      <c r="L469" s="288">
        <v>355</v>
      </c>
      <c r="M469" s="169">
        <f t="shared" si="77"/>
        <v>0</v>
      </c>
      <c r="N469" s="198"/>
      <c r="P469" s="219"/>
    </row>
    <row r="470" spans="1:16" s="197" customFormat="1" ht="12.95" customHeight="1">
      <c r="A470" s="196"/>
      <c r="B470" s="197" t="s">
        <v>1326</v>
      </c>
      <c r="C470" s="219"/>
      <c r="D470" s="285"/>
      <c r="E470" s="398"/>
      <c r="F470" s="398"/>
      <c r="G470" s="219"/>
      <c r="H470" s="260"/>
      <c r="I470" s="490">
        <v>200</v>
      </c>
      <c r="J470" s="260">
        <v>200</v>
      </c>
      <c r="K470" s="260"/>
      <c r="L470" s="260">
        <v>200</v>
      </c>
      <c r="M470" s="169">
        <f t="shared" si="77"/>
        <v>0</v>
      </c>
      <c r="N470" s="198"/>
      <c r="P470" s="219"/>
    </row>
    <row r="471" spans="1:16" s="197" customFormat="1" ht="12.95" customHeight="1">
      <c r="A471" s="196"/>
      <c r="B471" s="197" t="s">
        <v>836</v>
      </c>
      <c r="C471" s="219">
        <v>305.55</v>
      </c>
      <c r="D471" s="285">
        <f>140.86+551.27</f>
        <v>692.13</v>
      </c>
      <c r="E471" s="219">
        <f>1242.03+168.99</f>
        <v>1411.02</v>
      </c>
      <c r="F471" s="219"/>
      <c r="G471" s="219">
        <v>1459.72</v>
      </c>
      <c r="H471" s="260"/>
      <c r="I471" s="490">
        <v>1478</v>
      </c>
      <c r="J471" s="260">
        <v>1478</v>
      </c>
      <c r="K471" s="260"/>
      <c r="L471" s="260">
        <v>1478</v>
      </c>
      <c r="M471" s="169">
        <f t="shared" si="77"/>
        <v>0</v>
      </c>
      <c r="N471" s="198"/>
      <c r="P471" s="219"/>
    </row>
    <row r="472" spans="1:16" s="197" customFormat="1" ht="12.95" customHeight="1">
      <c r="A472" s="196"/>
      <c r="B472" s="197" t="s">
        <v>1322</v>
      </c>
      <c r="C472" s="219"/>
      <c r="D472" s="285"/>
      <c r="E472" s="219"/>
      <c r="F472" s="219"/>
      <c r="G472" s="219">
        <f>36.4</f>
        <v>36.4</v>
      </c>
      <c r="H472" s="260"/>
      <c r="I472" s="490"/>
      <c r="J472" s="260"/>
      <c r="K472" s="260"/>
      <c r="L472" s="260"/>
      <c r="M472" s="169">
        <f t="shared" si="77"/>
        <v>0</v>
      </c>
      <c r="N472" s="198"/>
      <c r="P472" s="219"/>
    </row>
    <row r="473" spans="1:16" s="197" customFormat="1" ht="12.95" customHeight="1">
      <c r="A473" s="196"/>
      <c r="B473" s="197" t="s">
        <v>1016</v>
      </c>
      <c r="C473" s="219"/>
      <c r="D473" s="285"/>
      <c r="E473" s="219"/>
      <c r="F473" s="219"/>
      <c r="G473" s="219"/>
      <c r="H473" s="260"/>
      <c r="I473" s="490"/>
      <c r="J473" s="260"/>
      <c r="K473" s="260"/>
      <c r="L473" s="260"/>
      <c r="M473" s="169">
        <f t="shared" si="77"/>
        <v>0</v>
      </c>
      <c r="N473" s="198"/>
      <c r="P473" s="219"/>
    </row>
    <row r="474" spans="1:16" s="197" customFormat="1" ht="12.95" customHeight="1">
      <c r="A474" s="196"/>
      <c r="B474" s="197" t="s">
        <v>868</v>
      </c>
      <c r="C474" s="219">
        <v>84.31</v>
      </c>
      <c r="D474" s="285">
        <f>38.86+114.16</f>
        <v>153.01999999999998</v>
      </c>
      <c r="E474" s="285">
        <f>58.25</f>
        <v>58.25</v>
      </c>
      <c r="F474" s="285"/>
      <c r="G474" s="285"/>
      <c r="H474" s="289"/>
      <c r="I474" s="501"/>
      <c r="J474" s="289"/>
      <c r="K474" s="289"/>
      <c r="L474" s="289"/>
      <c r="M474" s="169">
        <f t="shared" si="77"/>
        <v>0</v>
      </c>
      <c r="N474" s="198"/>
      <c r="P474" s="219"/>
    </row>
    <row r="475" spans="1:16" s="197" customFormat="1" ht="12.95" customHeight="1">
      <c r="A475" s="196"/>
      <c r="B475" s="197" t="s">
        <v>1212</v>
      </c>
      <c r="C475" s="219">
        <v>1037.6600000000001</v>
      </c>
      <c r="D475" s="285">
        <f>1632.58+537.72</f>
        <v>2170.3000000000002</v>
      </c>
      <c r="E475" s="285">
        <f>1311.43</f>
        <v>1311.43</v>
      </c>
      <c r="F475" s="285"/>
      <c r="G475" s="285"/>
      <c r="H475" s="289"/>
      <c r="I475" s="501"/>
      <c r="J475" s="289"/>
      <c r="K475" s="289"/>
      <c r="L475" s="289"/>
      <c r="M475" s="169">
        <f t="shared" si="77"/>
        <v>0</v>
      </c>
      <c r="N475" s="198"/>
      <c r="P475" s="219"/>
    </row>
    <row r="476" spans="1:16" s="197" customFormat="1" ht="12.95" customHeight="1">
      <c r="A476" s="196"/>
      <c r="B476" s="197" t="s">
        <v>972</v>
      </c>
      <c r="C476" s="219"/>
      <c r="D476" s="285">
        <v>110.9</v>
      </c>
      <c r="E476" s="285"/>
      <c r="F476" s="285"/>
      <c r="G476" s="285"/>
      <c r="H476" s="289"/>
      <c r="I476" s="501"/>
      <c r="J476" s="289"/>
      <c r="K476" s="289"/>
      <c r="L476" s="289"/>
      <c r="M476" s="169">
        <f t="shared" si="77"/>
        <v>0</v>
      </c>
      <c r="N476" s="198"/>
      <c r="P476" s="219"/>
    </row>
    <row r="477" spans="1:16" s="197" customFormat="1" ht="12.95" customHeight="1">
      <c r="A477" s="196"/>
      <c r="B477" s="197" t="s">
        <v>1327</v>
      </c>
      <c r="C477" s="219"/>
      <c r="D477" s="285"/>
      <c r="E477" s="285"/>
      <c r="F477" s="285"/>
      <c r="G477" s="285"/>
      <c r="H477" s="289"/>
      <c r="I477" s="501"/>
      <c r="J477" s="289"/>
      <c r="K477" s="289"/>
      <c r="L477" s="289"/>
      <c r="M477" s="169">
        <f t="shared" si="77"/>
        <v>0</v>
      </c>
      <c r="N477" s="198"/>
      <c r="P477" s="219"/>
    </row>
    <row r="478" spans="1:16">
      <c r="B478" s="164" t="s">
        <v>835</v>
      </c>
      <c r="D478" s="285"/>
      <c r="E478" s="401"/>
      <c r="F478" s="401"/>
      <c r="G478" s="401">
        <v>169.44</v>
      </c>
      <c r="H478" s="290"/>
      <c r="I478" s="500"/>
      <c r="J478" s="290"/>
      <c r="K478" s="290"/>
      <c r="L478" s="290"/>
      <c r="M478" s="169">
        <f t="shared" si="77"/>
        <v>0</v>
      </c>
    </row>
    <row r="479" spans="1:16" s="197" customFormat="1" ht="12.95" customHeight="1">
      <c r="A479" s="196"/>
      <c r="B479" s="197" t="s">
        <v>500</v>
      </c>
      <c r="C479" s="219"/>
      <c r="D479" s="285"/>
      <c r="E479" s="285"/>
      <c r="F479" s="285"/>
      <c r="G479" s="219"/>
      <c r="H479" s="260"/>
      <c r="I479" s="490">
        <v>148.56</v>
      </c>
      <c r="J479" s="260">
        <v>83439.94</v>
      </c>
      <c r="K479" s="260"/>
      <c r="L479" s="260">
        <v>105463.38</v>
      </c>
      <c r="M479" s="169">
        <f t="shared" si="77"/>
        <v>22023.440000000002</v>
      </c>
      <c r="N479" s="198"/>
      <c r="P479" s="219"/>
    </row>
    <row r="480" spans="1:16" s="197" customFormat="1" ht="12.95" customHeight="1">
      <c r="A480" s="196"/>
      <c r="B480" s="197" t="s">
        <v>838</v>
      </c>
      <c r="C480" s="219"/>
      <c r="D480" s="285"/>
      <c r="E480" s="219"/>
      <c r="F480" s="219"/>
      <c r="G480" s="285"/>
      <c r="H480" s="289"/>
      <c r="I480" s="501">
        <v>0</v>
      </c>
      <c r="J480" s="289">
        <v>0</v>
      </c>
      <c r="K480" s="289"/>
      <c r="L480" s="289">
        <v>0</v>
      </c>
      <c r="M480" s="169">
        <f t="shared" si="77"/>
        <v>0</v>
      </c>
      <c r="N480" s="198"/>
      <c r="P480" s="219"/>
    </row>
    <row r="481" spans="1:17">
      <c r="A481" s="175"/>
      <c r="E481" s="182">
        <v>0</v>
      </c>
      <c r="I481" s="492">
        <v>0</v>
      </c>
      <c r="J481" s="168">
        <v>0</v>
      </c>
      <c r="L481" s="168">
        <v>0</v>
      </c>
    </row>
    <row r="482" spans="1:17" s="167" customFormat="1">
      <c r="A482" s="180"/>
      <c r="B482" s="167" t="s">
        <v>407</v>
      </c>
      <c r="C482" s="174">
        <f t="shared" ref="C482:M482" si="85">SUM(C418:C481)</f>
        <v>50190.69</v>
      </c>
      <c r="D482" s="221">
        <f t="shared" si="85"/>
        <v>95012.750000000015</v>
      </c>
      <c r="E482" s="221">
        <f t="shared" si="85"/>
        <v>110107.34</v>
      </c>
      <c r="F482" s="221"/>
      <c r="G482" s="221">
        <f t="shared" si="85"/>
        <v>117313.79999999997</v>
      </c>
      <c r="H482" s="174"/>
      <c r="I482" s="494" t="e">
        <f t="shared" ref="I482" si="86">SUM(I418:I481)</f>
        <v>#REF!</v>
      </c>
      <c r="J482" s="174">
        <f t="shared" ref="J482:L482" si="87">SUM(J418:J481)</f>
        <v>177509</v>
      </c>
      <c r="K482" s="174"/>
      <c r="L482" s="174">
        <f t="shared" si="87"/>
        <v>198637.48</v>
      </c>
      <c r="M482" s="174">
        <f t="shared" si="85"/>
        <v>21128.480000000003</v>
      </c>
      <c r="N482" s="167" t="s">
        <v>199</v>
      </c>
      <c r="P482" s="229">
        <f>REVENUE!J76+REVENUE!J77-EXPENSE!L482</f>
        <v>0</v>
      </c>
      <c r="Q482" s="172"/>
    </row>
    <row r="483" spans="1:17">
      <c r="A483" s="175"/>
    </row>
    <row r="484" spans="1:17" s="197" customFormat="1" ht="12.75" customHeight="1">
      <c r="A484" s="196"/>
      <c r="B484" s="197" t="s">
        <v>1328</v>
      </c>
      <c r="C484" s="219">
        <v>640985.27</v>
      </c>
      <c r="D484" s="219">
        <f>70207.12+159696.82+524179.61</f>
        <v>754083.55</v>
      </c>
      <c r="E484" s="219"/>
      <c r="F484" s="219"/>
      <c r="G484" s="219"/>
      <c r="H484" s="260"/>
      <c r="I484" s="490"/>
      <c r="J484" s="260"/>
      <c r="K484" s="260"/>
      <c r="L484" s="260"/>
      <c r="M484" s="169">
        <f t="shared" ref="M484:M489" si="88">L484-J484</f>
        <v>0</v>
      </c>
      <c r="N484" s="198"/>
      <c r="P484" s="219"/>
    </row>
    <row r="485" spans="1:17" s="197" customFormat="1" ht="12.95" customHeight="1">
      <c r="A485" s="196"/>
      <c r="B485" s="197" t="s">
        <v>970</v>
      </c>
      <c r="C485" s="219"/>
      <c r="D485" s="219"/>
      <c r="E485" s="219">
        <v>85232.45</v>
      </c>
      <c r="F485" s="219"/>
      <c r="G485" s="219"/>
      <c r="H485" s="260"/>
      <c r="I485" s="490"/>
      <c r="J485" s="260"/>
      <c r="K485" s="260"/>
      <c r="L485" s="260"/>
      <c r="M485" s="169">
        <f t="shared" si="88"/>
        <v>0</v>
      </c>
      <c r="N485" s="198"/>
      <c r="P485" s="219"/>
    </row>
    <row r="486" spans="1:17" s="197" customFormat="1" ht="12.95" customHeight="1">
      <c r="A486" s="196"/>
      <c r="B486" s="197" t="s">
        <v>1026</v>
      </c>
      <c r="C486" s="219"/>
      <c r="D486" s="219"/>
      <c r="E486" s="219">
        <v>570564.34</v>
      </c>
      <c r="F486" s="219"/>
      <c r="G486" s="219">
        <f>135377.54-7008.93</f>
        <v>128368.61000000002</v>
      </c>
      <c r="H486" s="260"/>
      <c r="I486" s="490">
        <f>135377.54-7008.93</f>
        <v>128368.61000000002</v>
      </c>
      <c r="J486" s="260"/>
      <c r="K486" s="260"/>
      <c r="L486" s="260"/>
      <c r="M486" s="169">
        <f>L486-J486</f>
        <v>0</v>
      </c>
      <c r="N486" s="198"/>
      <c r="P486" s="219"/>
    </row>
    <row r="487" spans="1:17" s="197" customFormat="1" ht="12.95" customHeight="1">
      <c r="A487" s="196"/>
      <c r="B487" s="197" t="s">
        <v>1048</v>
      </c>
      <c r="C487" s="219"/>
      <c r="D487" s="219"/>
      <c r="E487" s="219"/>
      <c r="F487" s="219"/>
      <c r="G487" s="219">
        <f>391688.95-20278.98</f>
        <v>371409.97000000003</v>
      </c>
      <c r="H487" s="260"/>
      <c r="I487" s="490">
        <f>687991-287813.62</f>
        <v>400177.38</v>
      </c>
      <c r="J487" s="260"/>
      <c r="K487" s="260"/>
      <c r="L487" s="260"/>
      <c r="M487" s="169">
        <f>L487-J487</f>
        <v>0</v>
      </c>
      <c r="N487" s="198"/>
      <c r="P487" s="219"/>
    </row>
    <row r="488" spans="1:17" s="197" customFormat="1" ht="12.95" customHeight="1">
      <c r="A488" s="196"/>
      <c r="B488" s="197" t="s">
        <v>1354</v>
      </c>
      <c r="C488" s="219"/>
      <c r="D488" s="219"/>
      <c r="E488" s="219"/>
      <c r="F488" s="219"/>
      <c r="G488" s="219"/>
      <c r="H488" s="260"/>
      <c r="I488" s="490">
        <v>287813.62</v>
      </c>
      <c r="J488" s="260">
        <v>69678.039999999994</v>
      </c>
      <c r="K488" s="260"/>
      <c r="L488" s="260">
        <v>316581.03000000003</v>
      </c>
      <c r="M488" s="169">
        <f t="shared" si="88"/>
        <v>246902.99000000005</v>
      </c>
      <c r="N488" s="198"/>
      <c r="P488" s="219"/>
    </row>
    <row r="489" spans="1:17" s="197" customFormat="1" ht="12.95" customHeight="1">
      <c r="A489" s="196" t="s">
        <v>632</v>
      </c>
      <c r="B489" s="197" t="s">
        <v>812</v>
      </c>
      <c r="C489" s="219"/>
      <c r="D489" s="219"/>
      <c r="E489" s="219">
        <f>4769.39+31152.81</f>
        <v>35922.200000000004</v>
      </c>
      <c r="F489" s="219"/>
      <c r="G489" s="219">
        <f>7008.93+20278.98</f>
        <v>27287.91</v>
      </c>
      <c r="H489" s="260"/>
      <c r="I489" s="490">
        <v>44571.93</v>
      </c>
      <c r="J489" s="260"/>
      <c r="K489" s="260"/>
      <c r="L489" s="260">
        <v>17284.02</v>
      </c>
      <c r="M489" s="169">
        <f t="shared" si="88"/>
        <v>17284.02</v>
      </c>
      <c r="N489" s="198"/>
      <c r="P489" s="219"/>
    </row>
    <row r="490" spans="1:17">
      <c r="A490" s="175"/>
      <c r="B490" s="179"/>
      <c r="C490" s="231"/>
      <c r="D490" s="219"/>
      <c r="M490" s="260"/>
    </row>
    <row r="491" spans="1:17">
      <c r="A491" s="175"/>
      <c r="B491" s="167" t="s">
        <v>906</v>
      </c>
      <c r="C491" s="171">
        <f>SUM(C484:C490)</f>
        <v>640985.27</v>
      </c>
      <c r="D491" s="220">
        <f>SUM(D484:D490)</f>
        <v>754083.55</v>
      </c>
      <c r="E491" s="220">
        <f>SUM(E484:E490)</f>
        <v>691718.98999999987</v>
      </c>
      <c r="F491" s="220"/>
      <c r="G491" s="220">
        <f>SUM(G484:G490)</f>
        <v>527066.49000000011</v>
      </c>
      <c r="H491" s="171"/>
      <c r="I491" s="493">
        <f>SUM(I484:I490)</f>
        <v>860931.54</v>
      </c>
      <c r="J491" s="171">
        <f>SUM(J484:J490)</f>
        <v>69678.039999999994</v>
      </c>
      <c r="K491" s="171"/>
      <c r="L491" s="171">
        <f>SUM(L484:L490)</f>
        <v>333865.05000000005</v>
      </c>
      <c r="M491" s="171">
        <f>SUM(M484:M490)</f>
        <v>264187.01000000007</v>
      </c>
      <c r="N491" s="171">
        <f>SUM(N484:N490)</f>
        <v>0</v>
      </c>
      <c r="P491" s="182">
        <f>REVENUE!J98+REVENUE!J99+REVENUE!J100-EXPENSE!L491</f>
        <v>0</v>
      </c>
      <c r="Q491" s="172"/>
    </row>
    <row r="492" spans="1:17">
      <c r="A492" s="175"/>
    </row>
    <row r="493" spans="1:17">
      <c r="A493" s="175" t="s">
        <v>24</v>
      </c>
      <c r="B493" s="197" t="s">
        <v>925</v>
      </c>
      <c r="C493" s="219">
        <v>281632.92</v>
      </c>
      <c r="E493" s="182">
        <v>0</v>
      </c>
      <c r="M493" s="169">
        <f t="shared" ref="M493:M494" si="89">L493-J493</f>
        <v>0</v>
      </c>
      <c r="N493" s="181">
        <v>4.3299999999999998E-2</v>
      </c>
    </row>
    <row r="494" spans="1:17">
      <c r="A494" s="175"/>
      <c r="B494" s="197" t="s">
        <v>812</v>
      </c>
      <c r="C494" s="219"/>
      <c r="E494" s="182">
        <v>0</v>
      </c>
      <c r="M494" s="169">
        <f t="shared" si="89"/>
        <v>0</v>
      </c>
      <c r="N494" s="181"/>
    </row>
    <row r="495" spans="1:17">
      <c r="A495" s="175"/>
      <c r="B495" s="179"/>
      <c r="C495" s="231"/>
    </row>
    <row r="496" spans="1:17">
      <c r="A496" s="175"/>
      <c r="B496" s="167" t="s">
        <v>916</v>
      </c>
      <c r="C496" s="171">
        <f t="shared" ref="C496:M496" si="90">SUM(C493:C495)</f>
        <v>281632.92</v>
      </c>
      <c r="D496" s="220">
        <f t="shared" si="90"/>
        <v>0</v>
      </c>
      <c r="E496" s="220">
        <f t="shared" si="90"/>
        <v>0</v>
      </c>
      <c r="F496" s="220"/>
      <c r="G496" s="220">
        <f t="shared" ref="G496" si="91">SUM(G493:G495)</f>
        <v>0</v>
      </c>
      <c r="H496" s="171"/>
      <c r="I496" s="493">
        <f t="shared" ref="I496" si="92">SUM(I493:I495)</f>
        <v>0</v>
      </c>
      <c r="J496" s="171">
        <f t="shared" ref="J496:L496" si="93">SUM(J493:J495)</f>
        <v>0</v>
      </c>
      <c r="K496" s="171"/>
      <c r="L496" s="171">
        <f t="shared" si="93"/>
        <v>0</v>
      </c>
      <c r="M496" s="174">
        <f t="shared" si="90"/>
        <v>0</v>
      </c>
      <c r="N496" s="164" t="s">
        <v>204</v>
      </c>
      <c r="Q496" s="172"/>
    </row>
    <row r="497" spans="1:17">
      <c r="A497" s="175"/>
    </row>
    <row r="498" spans="1:17" s="197" customFormat="1" ht="12.95" customHeight="1">
      <c r="A498" s="196"/>
      <c r="B498" s="197" t="s">
        <v>875</v>
      </c>
      <c r="C498" s="219">
        <v>156997.34</v>
      </c>
      <c r="D498" s="219">
        <f>90413-2223</f>
        <v>88190</v>
      </c>
      <c r="E498" s="219">
        <f>2333.8+74074.4</f>
        <v>76408.2</v>
      </c>
      <c r="F498" s="219"/>
      <c r="G498" s="219">
        <f>40.05</f>
        <v>40.049999999999997</v>
      </c>
      <c r="H498" s="260"/>
      <c r="I498" s="490">
        <f>198056.69-I499</f>
        <v>132690.67000000001</v>
      </c>
      <c r="J498" s="260">
        <v>117157.68</v>
      </c>
      <c r="K498" s="260"/>
      <c r="L498" s="260">
        <v>143932.34</v>
      </c>
      <c r="M498" s="169">
        <f t="shared" ref="M498:M500" si="94">L498-J498</f>
        <v>26774.660000000003</v>
      </c>
      <c r="N498" s="198"/>
      <c r="P498" s="219"/>
    </row>
    <row r="499" spans="1:17" s="197" customFormat="1" ht="12.95" customHeight="1">
      <c r="A499" s="196"/>
      <c r="B499" s="197" t="s">
        <v>1354</v>
      </c>
      <c r="C499" s="219"/>
      <c r="D499" s="219"/>
      <c r="E499" s="219"/>
      <c r="F499" s="219"/>
      <c r="G499" s="219">
        <f>4995.64+5211+53513.45</f>
        <v>63720.09</v>
      </c>
      <c r="H499" s="260"/>
      <c r="I499" s="490">
        <v>65366.02</v>
      </c>
      <c r="J499" s="260">
        <v>75874.320000000007</v>
      </c>
      <c r="K499" s="260"/>
      <c r="L499" s="260">
        <v>75874.320000000007</v>
      </c>
      <c r="M499" s="169">
        <f t="shared" si="94"/>
        <v>0</v>
      </c>
      <c r="N499" s="198"/>
      <c r="P499" s="219"/>
    </row>
    <row r="500" spans="1:17">
      <c r="A500" s="175" t="s">
        <v>24</v>
      </c>
      <c r="B500" s="179" t="s">
        <v>849</v>
      </c>
      <c r="C500" s="231"/>
      <c r="D500" s="182">
        <v>2223</v>
      </c>
      <c r="E500" s="182">
        <v>4044.46</v>
      </c>
      <c r="G500" s="182">
        <f>274.95+3206.35</f>
        <v>3481.2999999999997</v>
      </c>
      <c r="I500" s="492">
        <v>10814.95</v>
      </c>
      <c r="J500" s="168">
        <v>10529</v>
      </c>
      <c r="L500" s="168">
        <f>9808+1973.01</f>
        <v>11781.01</v>
      </c>
      <c r="M500" s="169">
        <f t="shared" si="94"/>
        <v>1252.0100000000002</v>
      </c>
      <c r="N500" s="181">
        <v>4.3299999999999998E-2</v>
      </c>
    </row>
    <row r="501" spans="1:17">
      <c r="A501" s="175"/>
      <c r="B501" s="179"/>
      <c r="C501" s="231"/>
    </row>
    <row r="502" spans="1:17">
      <c r="A502" s="175"/>
      <c r="B502" s="167" t="s">
        <v>195</v>
      </c>
      <c r="C502" s="171">
        <f t="shared" ref="C502:M502" si="95">SUM(C498:C501)</f>
        <v>156997.34</v>
      </c>
      <c r="D502" s="220">
        <f t="shared" si="95"/>
        <v>90413</v>
      </c>
      <c r="E502" s="220">
        <f t="shared" si="95"/>
        <v>80452.66</v>
      </c>
      <c r="F502" s="220"/>
      <c r="G502" s="220">
        <f t="shared" ref="G502" si="96">SUM(G498:G501)</f>
        <v>67241.440000000002</v>
      </c>
      <c r="H502" s="171"/>
      <c r="I502" s="493">
        <f t="shared" ref="I502" si="97">SUM(I498:I501)</f>
        <v>208871.64</v>
      </c>
      <c r="J502" s="171">
        <f t="shared" ref="J502:L502" si="98">SUM(J498:J501)</f>
        <v>203561</v>
      </c>
      <c r="K502" s="171"/>
      <c r="L502" s="171">
        <f t="shared" si="98"/>
        <v>231587.67</v>
      </c>
      <c r="M502" s="174">
        <f t="shared" si="95"/>
        <v>28026.670000000006</v>
      </c>
      <c r="N502" s="164" t="s">
        <v>204</v>
      </c>
      <c r="P502" s="182">
        <f>REVENUE!J101+REVENUE!J102+REVENUE!J103-EXPENSE!L502</f>
        <v>0</v>
      </c>
      <c r="Q502" s="172"/>
    </row>
    <row r="503" spans="1:17">
      <c r="A503" s="175"/>
      <c r="B503" s="179"/>
      <c r="C503" s="231"/>
      <c r="N503" s="168"/>
    </row>
    <row r="504" spans="1:17">
      <c r="A504" s="175"/>
      <c r="B504" s="179" t="s">
        <v>500</v>
      </c>
      <c r="C504" s="231"/>
      <c r="D504" s="182">
        <v>14912.91</v>
      </c>
      <c r="E504" s="182">
        <v>32517.55</v>
      </c>
      <c r="G504" s="182">
        <f>8290.13-429.21</f>
        <v>7860.9199999999992</v>
      </c>
      <c r="I504" s="492">
        <v>47103</v>
      </c>
      <c r="J504" s="168">
        <v>61635</v>
      </c>
      <c r="L504" s="168">
        <v>53036.87</v>
      </c>
      <c r="M504" s="169">
        <f t="shared" ref="M504:M505" si="99">L504-J504</f>
        <v>-8598.1299999999974</v>
      </c>
      <c r="N504" s="168"/>
    </row>
    <row r="505" spans="1:17">
      <c r="A505" s="175">
        <v>1161199981</v>
      </c>
      <c r="B505" s="183" t="s">
        <v>850</v>
      </c>
      <c r="C505" s="232"/>
      <c r="D505" s="182">
        <v>964.87</v>
      </c>
      <c r="E505" s="182">
        <f>35.13+1510.43</f>
        <v>1545.5600000000002</v>
      </c>
      <c r="G505" s="182">
        <v>429.21</v>
      </c>
      <c r="I505" s="492">
        <v>2572</v>
      </c>
      <c r="J505" s="168">
        <v>3365</v>
      </c>
      <c r="L505" s="168">
        <f>300.62+2538</f>
        <v>2838.62</v>
      </c>
      <c r="M505" s="169">
        <f t="shared" si="99"/>
        <v>-526.38000000000011</v>
      </c>
      <c r="N505" s="181">
        <v>4.3299999999999998E-2</v>
      </c>
    </row>
    <row r="506" spans="1:17">
      <c r="A506" s="175"/>
    </row>
    <row r="507" spans="1:17">
      <c r="A507" s="180"/>
      <c r="B507" s="167" t="s">
        <v>904</v>
      </c>
      <c r="C507" s="174">
        <f>SUM(C504:C505)</f>
        <v>0</v>
      </c>
      <c r="D507" s="221">
        <f>SUM(D504:D505)</f>
        <v>15877.78</v>
      </c>
      <c r="E507" s="221">
        <f t="shared" ref="E507:M507" si="100">SUM(E504:E506)</f>
        <v>34063.11</v>
      </c>
      <c r="F507" s="221"/>
      <c r="G507" s="221">
        <f t="shared" si="100"/>
        <v>8290.1299999999992</v>
      </c>
      <c r="H507" s="174"/>
      <c r="I507" s="494">
        <f t="shared" si="100"/>
        <v>49675</v>
      </c>
      <c r="J507" s="174">
        <f t="shared" ref="J507:L507" si="101">SUM(J504:J506)</f>
        <v>65000</v>
      </c>
      <c r="K507" s="174"/>
      <c r="L507" s="174">
        <f t="shared" si="101"/>
        <v>55875.490000000005</v>
      </c>
      <c r="M507" s="174">
        <f t="shared" si="100"/>
        <v>-9124.5099999999984</v>
      </c>
      <c r="N507" s="164" t="s">
        <v>205</v>
      </c>
      <c r="P507" s="182">
        <f>REVENUE!J104+REVENUE!J105+REVENUE!J106-EXPENSE!L507</f>
        <v>0</v>
      </c>
      <c r="Q507" s="172"/>
    </row>
    <row r="508" spans="1:17">
      <c r="A508" s="180"/>
      <c r="B508" s="167"/>
      <c r="C508" s="229"/>
      <c r="D508" s="222"/>
      <c r="E508" s="222"/>
      <c r="F508" s="222"/>
      <c r="G508" s="222"/>
      <c r="H508" s="177"/>
      <c r="I508" s="495"/>
      <c r="J508" s="177"/>
      <c r="K508" s="177"/>
      <c r="L508" s="177"/>
      <c r="M508" s="177"/>
    </row>
    <row r="509" spans="1:17">
      <c r="A509" s="175"/>
      <c r="B509" s="173" t="s">
        <v>500</v>
      </c>
      <c r="C509" s="190"/>
      <c r="D509" s="182">
        <f>8983.91-392</f>
        <v>8591.91</v>
      </c>
      <c r="E509" s="182">
        <f>3339.52+1195.8</f>
        <v>4535.32</v>
      </c>
      <c r="G509" s="182">
        <f>2204.93-23.99+2476.07-24.52</f>
        <v>4632.49</v>
      </c>
      <c r="I509" s="492">
        <v>21980.94</v>
      </c>
      <c r="J509" s="168">
        <v>26935.93</v>
      </c>
      <c r="L509" s="168">
        <v>28614.75</v>
      </c>
      <c r="M509" s="169">
        <f t="shared" ref="M509:M510" si="102">L509-J509</f>
        <v>1678.8199999999997</v>
      </c>
    </row>
    <row r="510" spans="1:17">
      <c r="A510" s="175"/>
      <c r="B510" s="173" t="s">
        <v>850</v>
      </c>
      <c r="C510" s="190"/>
      <c r="D510" s="182">
        <v>392</v>
      </c>
      <c r="E510" s="182">
        <v>13.15</v>
      </c>
      <c r="G510" s="182">
        <f>23.99+24.52</f>
        <v>48.51</v>
      </c>
      <c r="I510" s="492">
        <v>223.99</v>
      </c>
      <c r="J510" s="168">
        <v>269</v>
      </c>
      <c r="L510" s="168">
        <f>90.26+392</f>
        <v>482.26</v>
      </c>
      <c r="M510" s="169">
        <f t="shared" si="102"/>
        <v>213.26</v>
      </c>
    </row>
    <row r="511" spans="1:17">
      <c r="A511" s="175"/>
    </row>
    <row r="512" spans="1:17">
      <c r="A512" s="180"/>
      <c r="B512" s="167" t="s">
        <v>905</v>
      </c>
      <c r="C512" s="174">
        <f>SUM(C509:C510)</f>
        <v>0</v>
      </c>
      <c r="D512" s="221">
        <f>SUM(D509:D510)</f>
        <v>8983.91</v>
      </c>
      <c r="E512" s="221">
        <f t="shared" ref="E512:M512" si="103">SUM(E509:E511)</f>
        <v>4548.4699999999993</v>
      </c>
      <c r="F512" s="221"/>
      <c r="G512" s="221">
        <f t="shared" si="103"/>
        <v>4681</v>
      </c>
      <c r="H512" s="174"/>
      <c r="I512" s="494">
        <f t="shared" si="103"/>
        <v>22204.93</v>
      </c>
      <c r="J512" s="174">
        <f t="shared" ref="J512:L512" si="104">SUM(J509:J511)</f>
        <v>27204.93</v>
      </c>
      <c r="K512" s="174"/>
      <c r="L512" s="174">
        <f t="shared" si="104"/>
        <v>29097.01</v>
      </c>
      <c r="M512" s="174">
        <f t="shared" si="103"/>
        <v>1892.0799999999997</v>
      </c>
      <c r="N512" s="164" t="s">
        <v>205</v>
      </c>
      <c r="P512" s="182">
        <f>REVENUE!J107+REVENUE!J108+REVENUE!J109-EXPENSE!L512</f>
        <v>0</v>
      </c>
      <c r="Q512" s="172"/>
    </row>
    <row r="513" spans="1:17">
      <c r="A513" s="180"/>
      <c r="B513" s="167"/>
      <c r="C513" s="229"/>
      <c r="D513" s="222"/>
      <c r="E513" s="222"/>
      <c r="F513" s="222"/>
      <c r="G513" s="222"/>
      <c r="H513" s="177"/>
      <c r="I513" s="495"/>
      <c r="J513" s="177"/>
      <c r="K513" s="177"/>
      <c r="L513" s="177"/>
      <c r="M513" s="177"/>
    </row>
    <row r="514" spans="1:17">
      <c r="A514" s="175"/>
      <c r="D514" s="222"/>
      <c r="E514" s="226"/>
      <c r="F514" s="226"/>
      <c r="G514" s="226"/>
      <c r="H514" s="187"/>
      <c r="I514" s="499"/>
      <c r="J514" s="187"/>
      <c r="K514" s="187"/>
      <c r="L514" s="187"/>
      <c r="M514" s="169">
        <f t="shared" ref="M514:M516" si="105">L514-J514</f>
        <v>0</v>
      </c>
    </row>
    <row r="515" spans="1:17">
      <c r="A515" s="175"/>
      <c r="B515" s="173" t="s">
        <v>618</v>
      </c>
      <c r="C515" s="190"/>
      <c r="M515" s="169">
        <f t="shared" si="105"/>
        <v>0</v>
      </c>
    </row>
    <row r="516" spans="1:17">
      <c r="A516" s="175"/>
      <c r="B516" s="173" t="s">
        <v>850</v>
      </c>
      <c r="C516" s="190"/>
      <c r="M516" s="169">
        <f t="shared" si="105"/>
        <v>0</v>
      </c>
    </row>
    <row r="517" spans="1:17">
      <c r="A517" s="175"/>
    </row>
    <row r="518" spans="1:17">
      <c r="A518" s="180"/>
      <c r="B518" s="167" t="s">
        <v>927</v>
      </c>
      <c r="C518" s="174">
        <f>SUM(C514:C516)</f>
        <v>0</v>
      </c>
      <c r="D518" s="221">
        <f>SUM(D514:D516)</f>
        <v>0</v>
      </c>
      <c r="E518" s="221">
        <f t="shared" ref="E518:M518" si="106">SUM(E514:E517)</f>
        <v>0</v>
      </c>
      <c r="F518" s="221"/>
      <c r="G518" s="221">
        <f t="shared" si="106"/>
        <v>0</v>
      </c>
      <c r="H518" s="174"/>
      <c r="I518" s="494">
        <f t="shared" si="106"/>
        <v>0</v>
      </c>
      <c r="J518" s="174">
        <f t="shared" ref="J518:L518" si="107">SUM(J514:J517)</f>
        <v>0</v>
      </c>
      <c r="K518" s="174"/>
      <c r="L518" s="174">
        <f t="shared" si="107"/>
        <v>0</v>
      </c>
      <c r="M518" s="174">
        <f t="shared" si="106"/>
        <v>0</v>
      </c>
      <c r="N518" s="164" t="s">
        <v>205</v>
      </c>
      <c r="Q518" s="172"/>
    </row>
    <row r="519" spans="1:17" ht="51.75" customHeight="1" thickBot="1">
      <c r="A519" s="218" t="s">
        <v>26</v>
      </c>
      <c r="B519" s="166" t="s">
        <v>25</v>
      </c>
      <c r="C519" s="228">
        <f>Summary!D542</f>
        <v>0</v>
      </c>
      <c r="D519" s="282" t="str">
        <f>D7</f>
        <v>2018/2019 Actual</v>
      </c>
      <c r="E519" s="282" t="str">
        <f>E7</f>
        <v>2019/2020 Actual</v>
      </c>
      <c r="F519" s="282"/>
      <c r="G519" s="282" t="str">
        <f>G7</f>
        <v>2020/2021 Actual</v>
      </c>
      <c r="H519" s="287"/>
      <c r="I519" s="489" t="e">
        <f>I7</f>
        <v>#REF!</v>
      </c>
      <c r="J519" s="287" t="str">
        <f>J7</f>
        <v xml:space="preserve">2021-2022 Approved Budget </v>
      </c>
      <c r="K519" s="287"/>
      <c r="L519" s="287" t="str">
        <f>L7</f>
        <v xml:space="preserve">2021-2022 Amended Budget </v>
      </c>
      <c r="M519" s="508" t="s">
        <v>89</v>
      </c>
      <c r="N519" s="167" t="s">
        <v>110</v>
      </c>
    </row>
    <row r="520" spans="1:17">
      <c r="A520" s="180"/>
      <c r="B520" s="167"/>
      <c r="C520" s="229"/>
      <c r="D520" s="222"/>
      <c r="E520" s="222"/>
      <c r="F520" s="222"/>
      <c r="G520" s="222"/>
      <c r="H520" s="177"/>
      <c r="I520" s="495"/>
      <c r="J520" s="177"/>
      <c r="K520" s="177"/>
      <c r="L520" s="177"/>
      <c r="M520" s="177"/>
    </row>
    <row r="521" spans="1:17">
      <c r="A521" s="180"/>
      <c r="B521" s="164" t="s">
        <v>1049</v>
      </c>
      <c r="C521" s="229"/>
      <c r="D521" s="226">
        <v>9948.7099999999991</v>
      </c>
      <c r="E521" s="226">
        <f>1422.29+3097.68</f>
        <v>4519.9699999999993</v>
      </c>
      <c r="F521" s="226"/>
      <c r="G521" s="226"/>
      <c r="H521" s="187"/>
      <c r="I521" s="499">
        <v>0</v>
      </c>
      <c r="J521" s="187">
        <v>0</v>
      </c>
      <c r="K521" s="187"/>
      <c r="L521" s="187">
        <v>0</v>
      </c>
      <c r="M521" s="169">
        <f t="shared" ref="M521:M523" si="108">L521-J521</f>
        <v>0</v>
      </c>
    </row>
    <row r="522" spans="1:17">
      <c r="A522" s="184"/>
      <c r="B522" s="164" t="s">
        <v>1422</v>
      </c>
      <c r="E522" s="182">
        <v>0</v>
      </c>
      <c r="G522" s="182">
        <v>5001.0600000000004</v>
      </c>
      <c r="I522" s="492">
        <v>0</v>
      </c>
      <c r="J522" s="168">
        <v>0</v>
      </c>
      <c r="L522" s="168">
        <v>2875.26</v>
      </c>
      <c r="M522" s="169">
        <f t="shared" si="108"/>
        <v>2875.26</v>
      </c>
    </row>
    <row r="523" spans="1:17">
      <c r="A523" s="184"/>
      <c r="B523" s="164" t="s">
        <v>1362</v>
      </c>
      <c r="I523" s="492">
        <v>6548</v>
      </c>
      <c r="J523" s="168">
        <v>6548</v>
      </c>
      <c r="L523" s="168">
        <v>7871</v>
      </c>
      <c r="M523" s="169">
        <f t="shared" si="108"/>
        <v>1323</v>
      </c>
    </row>
    <row r="524" spans="1:17">
      <c r="A524" s="170"/>
    </row>
    <row r="525" spans="1:17" s="167" customFormat="1">
      <c r="A525" s="176" t="s">
        <v>22</v>
      </c>
      <c r="B525" s="167" t="s">
        <v>23</v>
      </c>
      <c r="C525" s="171">
        <f>SUM(C522:C522)</f>
        <v>0</v>
      </c>
      <c r="D525" s="220">
        <f>SUM(D521:D524)</f>
        <v>9948.7099999999991</v>
      </c>
      <c r="E525" s="220">
        <f t="shared" ref="E525:M525" si="109">SUM(E521:E524)</f>
        <v>4519.9699999999993</v>
      </c>
      <c r="F525" s="220"/>
      <c r="G525" s="220">
        <f t="shared" ref="G525" si="110">SUM(G521:G524)</f>
        <v>5001.0600000000004</v>
      </c>
      <c r="H525" s="171"/>
      <c r="I525" s="493">
        <f t="shared" ref="I525" si="111">SUM(I521:I524)</f>
        <v>6548</v>
      </c>
      <c r="J525" s="171">
        <f t="shared" ref="J525:L525" si="112">SUM(J521:J524)</f>
        <v>6548</v>
      </c>
      <c r="K525" s="171"/>
      <c r="L525" s="171">
        <f t="shared" si="112"/>
        <v>10746.26</v>
      </c>
      <c r="M525" s="171">
        <f t="shared" si="109"/>
        <v>4198.26</v>
      </c>
      <c r="N525" s="164" t="s">
        <v>202</v>
      </c>
      <c r="P525" s="229">
        <f>REVENUE!J111-EXPENSE!L525</f>
        <v>0</v>
      </c>
      <c r="Q525" s="172"/>
    </row>
    <row r="526" spans="1:17">
      <c r="A526" s="175"/>
    </row>
    <row r="527" spans="1:17">
      <c r="A527" s="184"/>
      <c r="B527" s="164" t="s">
        <v>851</v>
      </c>
      <c r="E527" s="182">
        <v>1541.79</v>
      </c>
      <c r="G527" s="182">
        <v>0</v>
      </c>
      <c r="I527" s="492">
        <v>0</v>
      </c>
      <c r="J527" s="168">
        <v>0</v>
      </c>
      <c r="L527" s="168">
        <v>0</v>
      </c>
      <c r="M527" s="169">
        <f t="shared" ref="M527" si="113">L527-J527</f>
        <v>0</v>
      </c>
    </row>
    <row r="528" spans="1:17">
      <c r="A528" s="170"/>
    </row>
    <row r="529" spans="1:17" s="167" customFormat="1">
      <c r="A529" s="176">
        <v>865</v>
      </c>
      <c r="B529" s="167" t="s">
        <v>295</v>
      </c>
      <c r="C529" s="171">
        <f>SUM(C527:C528)</f>
        <v>0</v>
      </c>
      <c r="D529" s="220">
        <f>SUM(D527:D528)</f>
        <v>0</v>
      </c>
      <c r="E529" s="220">
        <f t="shared" ref="E529" si="114">SUM(E527:E528)</f>
        <v>1541.79</v>
      </c>
      <c r="F529" s="220"/>
      <c r="G529" s="220">
        <f t="shared" ref="G529" si="115">SUM(G527:G528)</f>
        <v>0</v>
      </c>
      <c r="H529" s="171"/>
      <c r="I529" s="493">
        <f t="shared" ref="I529" si="116">SUM(I527:I528)</f>
        <v>0</v>
      </c>
      <c r="J529" s="171">
        <f t="shared" ref="J529:L529" si="117">SUM(J527:J528)</f>
        <v>0</v>
      </c>
      <c r="K529" s="171"/>
      <c r="L529" s="171">
        <f t="shared" si="117"/>
        <v>0</v>
      </c>
      <c r="M529" s="171">
        <f t="shared" ref="M529" si="118">SUM(M527:M528)</f>
        <v>0</v>
      </c>
      <c r="N529" s="164" t="s">
        <v>202</v>
      </c>
      <c r="P529" s="229">
        <f>REVENUE!J80-EXPENSE!L529</f>
        <v>0</v>
      </c>
      <c r="Q529" s="172"/>
    </row>
    <row r="530" spans="1:17">
      <c r="A530" s="170"/>
    </row>
    <row r="531" spans="1:17">
      <c r="A531" s="179"/>
      <c r="B531" s="164" t="s">
        <v>852</v>
      </c>
      <c r="D531" s="182">
        <v>4303.8999999999996</v>
      </c>
      <c r="G531" s="182">
        <v>0</v>
      </c>
      <c r="I531" s="492">
        <v>0</v>
      </c>
      <c r="J531" s="168">
        <v>0</v>
      </c>
      <c r="L531" s="168">
        <v>0</v>
      </c>
      <c r="M531" s="169">
        <f t="shared" ref="M531:M534" si="119">L531-J531</f>
        <v>0</v>
      </c>
    </row>
    <row r="532" spans="1:17">
      <c r="A532" s="179"/>
      <c r="B532" s="164" t="s">
        <v>853</v>
      </c>
      <c r="D532" s="182">
        <v>816.72</v>
      </c>
      <c r="M532" s="169">
        <f t="shared" si="119"/>
        <v>0</v>
      </c>
    </row>
    <row r="533" spans="1:17">
      <c r="A533" s="179"/>
      <c r="B533" s="164" t="s">
        <v>854</v>
      </c>
      <c r="D533" s="182">
        <v>1074.22</v>
      </c>
      <c r="M533" s="169">
        <f t="shared" si="119"/>
        <v>0</v>
      </c>
    </row>
    <row r="534" spans="1:17">
      <c r="A534" s="179"/>
      <c r="B534" s="164" t="s">
        <v>855</v>
      </c>
      <c r="D534" s="182">
        <v>291.64</v>
      </c>
      <c r="M534" s="169">
        <f t="shared" si="119"/>
        <v>0</v>
      </c>
    </row>
    <row r="535" spans="1:17">
      <c r="A535" s="179"/>
    </row>
    <row r="536" spans="1:17">
      <c r="A536" s="185" t="s">
        <v>1364</v>
      </c>
      <c r="B536" s="167" t="s">
        <v>293</v>
      </c>
      <c r="C536" s="178">
        <f>SUM(C531:C535)</f>
        <v>0</v>
      </c>
      <c r="D536" s="223">
        <f>SUM(D531:D535)</f>
        <v>6486.4800000000005</v>
      </c>
      <c r="E536" s="223">
        <f t="shared" ref="E536:M536" si="120">SUM(E531:E534)</f>
        <v>0</v>
      </c>
      <c r="F536" s="223"/>
      <c r="G536" s="223">
        <f t="shared" si="120"/>
        <v>0</v>
      </c>
      <c r="H536" s="178"/>
      <c r="I536" s="503">
        <f t="shared" si="120"/>
        <v>0</v>
      </c>
      <c r="J536" s="178">
        <f t="shared" ref="J536:L536" si="121">SUM(J531:J534)</f>
        <v>0</v>
      </c>
      <c r="K536" s="178"/>
      <c r="L536" s="178">
        <f t="shared" si="121"/>
        <v>0</v>
      </c>
      <c r="M536" s="178">
        <f t="shared" si="120"/>
        <v>0</v>
      </c>
      <c r="P536" s="182">
        <f>REVENUE!J85-EXPENSE!L536</f>
        <v>0</v>
      </c>
      <c r="Q536" s="172"/>
    </row>
    <row r="537" spans="1:17">
      <c r="A537" s="170"/>
    </row>
    <row r="538" spans="1:17">
      <c r="A538" s="170">
        <v>39001</v>
      </c>
      <c r="B538" s="164" t="s">
        <v>500</v>
      </c>
      <c r="D538" s="182">
        <v>5584.65</v>
      </c>
      <c r="E538" s="182">
        <v>1409.55</v>
      </c>
      <c r="G538" s="182">
        <v>4910.87</v>
      </c>
      <c r="I538" s="492">
        <v>7090.61</v>
      </c>
      <c r="J538" s="168">
        <v>3921</v>
      </c>
      <c r="L538" s="168">
        <v>7467.26</v>
      </c>
      <c r="M538" s="169">
        <f t="shared" ref="M538" si="122">L538-J538</f>
        <v>3546.26</v>
      </c>
    </row>
    <row r="539" spans="1:17">
      <c r="A539" s="170"/>
    </row>
    <row r="540" spans="1:17" s="167" customFormat="1">
      <c r="A540" s="176">
        <v>111</v>
      </c>
      <c r="B540" s="167" t="s">
        <v>290</v>
      </c>
      <c r="C540" s="171">
        <f t="shared" ref="C540:M540" si="123">SUM(C538)</f>
        <v>0</v>
      </c>
      <c r="D540" s="220">
        <f t="shared" si="123"/>
        <v>5584.65</v>
      </c>
      <c r="E540" s="220">
        <f t="shared" ref="E540" si="124">SUM(E538)</f>
        <v>1409.55</v>
      </c>
      <c r="F540" s="220"/>
      <c r="G540" s="220">
        <f t="shared" ref="G540" si="125">SUM(G538)</f>
        <v>4910.87</v>
      </c>
      <c r="H540" s="171"/>
      <c r="I540" s="493">
        <f t="shared" ref="I540" si="126">SUM(I538)</f>
        <v>7090.61</v>
      </c>
      <c r="J540" s="171">
        <f t="shared" ref="J540:L540" si="127">SUM(J538)</f>
        <v>3921</v>
      </c>
      <c r="K540" s="171"/>
      <c r="L540" s="171">
        <f t="shared" si="127"/>
        <v>7467.26</v>
      </c>
      <c r="M540" s="171">
        <f t="shared" si="123"/>
        <v>3546.26</v>
      </c>
      <c r="P540" s="229">
        <f>REVENUE!J75-EXPENSE!L540</f>
        <v>0</v>
      </c>
      <c r="Q540" s="172"/>
    </row>
    <row r="541" spans="1:17">
      <c r="A541" s="170"/>
    </row>
    <row r="542" spans="1:17">
      <c r="A542" s="196" t="s">
        <v>489</v>
      </c>
      <c r="B542" s="381" t="s">
        <v>490</v>
      </c>
      <c r="C542" s="219">
        <v>2653.29</v>
      </c>
      <c r="D542" s="219">
        <v>1875.1</v>
      </c>
      <c r="E542" s="219"/>
      <c r="F542" s="219"/>
      <c r="G542" s="219"/>
      <c r="H542" s="260"/>
      <c r="I542" s="490">
        <f>2621.61</f>
        <v>2621.61</v>
      </c>
      <c r="J542" s="260">
        <f>2621.61</f>
        <v>2621.61</v>
      </c>
      <c r="K542" s="260"/>
      <c r="L542" s="260">
        <f t="shared" ref="L542" si="128">2621.61</f>
        <v>2621.61</v>
      </c>
      <c r="M542" s="169">
        <f t="shared" ref="M542" si="129">L542-J542</f>
        <v>0</v>
      </c>
    </row>
    <row r="543" spans="1:17">
      <c r="A543" s="170"/>
    </row>
    <row r="544" spans="1:17" s="167" customFormat="1">
      <c r="A544" s="176">
        <v>291</v>
      </c>
      <c r="B544" s="167" t="s">
        <v>289</v>
      </c>
      <c r="C544" s="171">
        <f>SUM(C542:C543)</f>
        <v>2653.29</v>
      </c>
      <c r="D544" s="220">
        <f t="shared" ref="D544" si="130">SUM(D542:D543)</f>
        <v>1875.1</v>
      </c>
      <c r="E544" s="220">
        <f t="shared" ref="E544" si="131">SUM(E542:E543)</f>
        <v>0</v>
      </c>
      <c r="F544" s="220"/>
      <c r="G544" s="220">
        <f t="shared" ref="G544" si="132">SUM(G542:G543)</f>
        <v>0</v>
      </c>
      <c r="H544" s="171"/>
      <c r="I544" s="493">
        <f t="shared" ref="I544" si="133">SUM(I542:I543)</f>
        <v>2621.61</v>
      </c>
      <c r="J544" s="171">
        <f t="shared" ref="J544:M544" si="134">SUM(J542:J543)</f>
        <v>2621.61</v>
      </c>
      <c r="K544" s="171"/>
      <c r="L544" s="171">
        <f t="shared" si="134"/>
        <v>2621.61</v>
      </c>
      <c r="M544" s="171">
        <f t="shared" si="134"/>
        <v>0</v>
      </c>
      <c r="P544" s="229">
        <f>REVENUE!J84-EXPENSE!L544</f>
        <v>0</v>
      </c>
      <c r="Q544" s="172"/>
    </row>
    <row r="545" spans="1:17">
      <c r="A545" s="170"/>
    </row>
    <row r="546" spans="1:17" s="384" customFormat="1">
      <c r="A546" s="382"/>
      <c r="B546" s="380" t="s">
        <v>1306</v>
      </c>
      <c r="C546" s="383">
        <v>0</v>
      </c>
      <c r="D546" s="383"/>
      <c r="E546" s="383"/>
      <c r="F546" s="383"/>
      <c r="G546" s="383">
        <v>49860.17</v>
      </c>
      <c r="H546" s="477"/>
      <c r="I546" s="504">
        <v>51956.25</v>
      </c>
      <c r="J546" s="477"/>
      <c r="K546" s="477"/>
      <c r="L546" s="477"/>
      <c r="M546" s="169">
        <f t="shared" ref="M546:M552" si="135">L546-J546</f>
        <v>0</v>
      </c>
      <c r="P546" s="405"/>
    </row>
    <row r="547" spans="1:17" s="384" customFormat="1">
      <c r="A547" s="382"/>
      <c r="B547" s="380" t="s">
        <v>1307</v>
      </c>
      <c r="C547" s="383"/>
      <c r="D547" s="383"/>
      <c r="E547" s="383"/>
      <c r="F547" s="383"/>
      <c r="G547" s="383">
        <v>7890.64</v>
      </c>
      <c r="H547" s="477"/>
      <c r="I547" s="504">
        <v>7812.66</v>
      </c>
      <c r="J547" s="477"/>
      <c r="K547" s="477"/>
      <c r="L547" s="477"/>
      <c r="M547" s="169">
        <f t="shared" si="135"/>
        <v>0</v>
      </c>
      <c r="P547" s="405"/>
    </row>
    <row r="548" spans="1:17" s="384" customFormat="1">
      <c r="A548" s="382"/>
      <c r="B548" s="380" t="s">
        <v>1308</v>
      </c>
      <c r="C548" s="383"/>
      <c r="D548" s="383"/>
      <c r="E548" s="383"/>
      <c r="F548" s="383"/>
      <c r="G548" s="383">
        <v>20797.13</v>
      </c>
      <c r="H548" s="477"/>
      <c r="I548" s="504">
        <v>23006.23</v>
      </c>
      <c r="J548" s="477"/>
      <c r="K548" s="477"/>
      <c r="L548" s="477"/>
      <c r="M548" s="169">
        <f t="shared" si="135"/>
        <v>0</v>
      </c>
      <c r="P548" s="405"/>
    </row>
    <row r="549" spans="1:17" s="384" customFormat="1">
      <c r="A549" s="382"/>
      <c r="B549" s="380" t="s">
        <v>91</v>
      </c>
      <c r="C549" s="383"/>
      <c r="D549" s="383"/>
      <c r="E549" s="383"/>
      <c r="F549" s="383"/>
      <c r="G549" s="383">
        <v>3714.51</v>
      </c>
      <c r="H549" s="477"/>
      <c r="I549" s="504">
        <v>3974.65</v>
      </c>
      <c r="J549" s="477"/>
      <c r="K549" s="477"/>
      <c r="L549" s="477"/>
      <c r="M549" s="169">
        <f t="shared" si="135"/>
        <v>0</v>
      </c>
      <c r="P549" s="405"/>
    </row>
    <row r="550" spans="1:17" s="384" customFormat="1">
      <c r="A550" s="382"/>
      <c r="B550" s="380" t="s">
        <v>1309</v>
      </c>
      <c r="C550" s="383"/>
      <c r="D550" s="383"/>
      <c r="E550" s="383"/>
      <c r="F550" s="383"/>
      <c r="G550" s="383">
        <v>78.59</v>
      </c>
      <c r="H550" s="477"/>
      <c r="I550" s="504">
        <v>3358</v>
      </c>
      <c r="J550" s="477"/>
      <c r="K550" s="477"/>
      <c r="L550" s="477"/>
      <c r="M550" s="169">
        <f t="shared" si="135"/>
        <v>0</v>
      </c>
      <c r="P550" s="405"/>
    </row>
    <row r="551" spans="1:17" s="384" customFormat="1">
      <c r="A551" s="382"/>
      <c r="B551" s="380" t="s">
        <v>500</v>
      </c>
      <c r="C551" s="383"/>
      <c r="D551" s="383"/>
      <c r="E551" s="383"/>
      <c r="F551" s="383"/>
      <c r="G551" s="383"/>
      <c r="H551" s="477"/>
      <c r="I551" s="504">
        <v>0</v>
      </c>
      <c r="J551" s="477"/>
      <c r="K551" s="477"/>
      <c r="L551" s="477">
        <v>3281.37</v>
      </c>
      <c r="M551" s="169">
        <f t="shared" si="135"/>
        <v>3281.37</v>
      </c>
      <c r="P551" s="405"/>
    </row>
    <row r="552" spans="1:17" s="384" customFormat="1">
      <c r="A552" s="382"/>
      <c r="B552" s="380" t="s">
        <v>850</v>
      </c>
      <c r="C552" s="383"/>
      <c r="D552" s="383"/>
      <c r="E552" s="383"/>
      <c r="F552" s="383"/>
      <c r="G552" s="383">
        <v>4495.82</v>
      </c>
      <c r="H552" s="477"/>
      <c r="I552" s="504">
        <v>4703</v>
      </c>
      <c r="J552" s="477"/>
      <c r="K552" s="477"/>
      <c r="L552" s="477">
        <v>179.16</v>
      </c>
      <c r="M552" s="169">
        <f t="shared" si="135"/>
        <v>179.16</v>
      </c>
      <c r="P552" s="405"/>
    </row>
    <row r="553" spans="1:17">
      <c r="A553" s="170"/>
    </row>
    <row r="554" spans="1:17" s="167" customFormat="1">
      <c r="A554" s="176">
        <v>291</v>
      </c>
      <c r="B554" s="167" t="s">
        <v>1180</v>
      </c>
      <c r="C554" s="171">
        <f>SUM(C546:C553)</f>
        <v>0</v>
      </c>
      <c r="D554" s="220">
        <f t="shared" ref="D554:M554" si="136">SUM(D546:D553)</f>
        <v>0</v>
      </c>
      <c r="E554" s="220">
        <f t="shared" si="136"/>
        <v>0</v>
      </c>
      <c r="F554" s="220"/>
      <c r="G554" s="220">
        <f t="shared" ref="G554" si="137">SUM(G546:G553)</f>
        <v>86836.859999999986</v>
      </c>
      <c r="H554" s="171"/>
      <c r="I554" s="493">
        <f t="shared" ref="I554:J554" si="138">SUM(I546:I553)</f>
        <v>94810.79</v>
      </c>
      <c r="J554" s="171">
        <f t="shared" si="138"/>
        <v>0</v>
      </c>
      <c r="K554" s="171"/>
      <c r="L554" s="171">
        <f t="shared" ref="L554" si="139">SUM(L546:L553)</f>
        <v>3460.5299999999997</v>
      </c>
      <c r="M554" s="171">
        <f t="shared" si="136"/>
        <v>3460.5299999999997</v>
      </c>
      <c r="P554" s="229">
        <f>REVENUE!J116-EXPENSE!L554</f>
        <v>0</v>
      </c>
      <c r="Q554" s="172"/>
    </row>
    <row r="555" spans="1:17">
      <c r="A555" s="170"/>
    </row>
    <row r="556" spans="1:17" s="384" customFormat="1">
      <c r="A556" s="382"/>
      <c r="B556" s="380" t="s">
        <v>1306</v>
      </c>
      <c r="C556" s="383">
        <v>0</v>
      </c>
      <c r="D556" s="383"/>
      <c r="E556" s="383"/>
      <c r="F556" s="383"/>
      <c r="G556" s="383"/>
      <c r="H556" s="477"/>
      <c r="I556" s="504"/>
      <c r="J556" s="477">
        <v>115048.53</v>
      </c>
      <c r="K556" s="477"/>
      <c r="L556" s="477">
        <v>203187</v>
      </c>
      <c r="M556" s="169">
        <f t="shared" ref="M556:M562" si="140">L556-J556</f>
        <v>88138.47</v>
      </c>
      <c r="P556" s="405"/>
    </row>
    <row r="557" spans="1:17" s="384" customFormat="1">
      <c r="A557" s="382"/>
      <c r="B557" s="380" t="s">
        <v>1307</v>
      </c>
      <c r="C557" s="383"/>
      <c r="D557" s="383"/>
      <c r="E557" s="383"/>
      <c r="F557" s="383"/>
      <c r="G557" s="383"/>
      <c r="H557" s="477"/>
      <c r="I557" s="504"/>
      <c r="J557" s="477">
        <v>43500.160000000003</v>
      </c>
      <c r="K557" s="477"/>
      <c r="L557" s="477">
        <v>69549</v>
      </c>
      <c r="M557" s="169">
        <f t="shared" si="140"/>
        <v>26048.839999999997</v>
      </c>
      <c r="P557" s="405"/>
    </row>
    <row r="558" spans="1:17" s="384" customFormat="1">
      <c r="A558" s="382"/>
      <c r="B558" s="380" t="s">
        <v>1308</v>
      </c>
      <c r="C558" s="383"/>
      <c r="D558" s="383"/>
      <c r="E558" s="383"/>
      <c r="F558" s="383"/>
      <c r="G558" s="383"/>
      <c r="H558" s="477"/>
      <c r="I558" s="504"/>
      <c r="J558" s="477">
        <v>50943.53</v>
      </c>
      <c r="K558" s="477"/>
      <c r="L558" s="477">
        <v>89971</v>
      </c>
      <c r="M558" s="169">
        <f t="shared" si="140"/>
        <v>39027.47</v>
      </c>
      <c r="P558" s="405"/>
    </row>
    <row r="559" spans="1:17" s="384" customFormat="1">
      <c r="A559" s="382"/>
      <c r="B559" s="380" t="s">
        <v>91</v>
      </c>
      <c r="C559" s="383"/>
      <c r="D559" s="383"/>
      <c r="E559" s="383"/>
      <c r="F559" s="383"/>
      <c r="G559" s="383"/>
      <c r="H559" s="477"/>
      <c r="I559" s="504"/>
      <c r="J559" s="477">
        <v>8801.2199999999993</v>
      </c>
      <c r="K559" s="477"/>
      <c r="L559" s="477">
        <v>15544</v>
      </c>
      <c r="M559" s="169">
        <f t="shared" si="140"/>
        <v>6742.7800000000007</v>
      </c>
      <c r="P559" s="405"/>
    </row>
    <row r="560" spans="1:17" s="384" customFormat="1">
      <c r="A560" s="382"/>
      <c r="B560" s="380" t="s">
        <v>1309</v>
      </c>
      <c r="C560" s="383"/>
      <c r="D560" s="383"/>
      <c r="E560" s="383"/>
      <c r="F560" s="383"/>
      <c r="G560" s="383"/>
      <c r="H560" s="477"/>
      <c r="I560" s="504"/>
      <c r="J560" s="477"/>
      <c r="K560" s="477"/>
      <c r="L560" s="477"/>
      <c r="M560" s="169">
        <f t="shared" si="140"/>
        <v>0</v>
      </c>
      <c r="P560" s="405"/>
    </row>
    <row r="561" spans="1:18" s="384" customFormat="1">
      <c r="A561" s="382"/>
      <c r="B561" s="380" t="s">
        <v>500</v>
      </c>
      <c r="C561" s="383"/>
      <c r="D561" s="383"/>
      <c r="E561" s="383"/>
      <c r="F561" s="383"/>
      <c r="G561" s="383"/>
      <c r="H561" s="477"/>
      <c r="I561" s="504"/>
      <c r="J561" s="477">
        <v>9220.56</v>
      </c>
      <c r="K561" s="477"/>
      <c r="L561" s="477">
        <v>128015.44</v>
      </c>
      <c r="M561" s="169">
        <f t="shared" si="140"/>
        <v>118794.88</v>
      </c>
      <c r="P561" s="405"/>
    </row>
    <row r="562" spans="1:18" s="384" customFormat="1">
      <c r="A562" s="382"/>
      <c r="B562" s="380" t="s">
        <v>850</v>
      </c>
      <c r="C562" s="383"/>
      <c r="D562" s="383"/>
      <c r="E562" s="383"/>
      <c r="F562" s="383"/>
      <c r="G562" s="383"/>
      <c r="H562" s="477"/>
      <c r="I562" s="504"/>
      <c r="J562" s="477">
        <v>12422</v>
      </c>
      <c r="K562" s="477"/>
      <c r="L562" s="477">
        <v>27050.560000000001</v>
      </c>
      <c r="M562" s="169">
        <f t="shared" si="140"/>
        <v>14628.560000000001</v>
      </c>
      <c r="P562" s="405"/>
      <c r="R562" s="487"/>
    </row>
    <row r="563" spans="1:18">
      <c r="A563" s="170"/>
    </row>
    <row r="564" spans="1:18" s="167" customFormat="1">
      <c r="A564" s="176">
        <v>291</v>
      </c>
      <c r="B564" s="167" t="s">
        <v>1360</v>
      </c>
      <c r="C564" s="171">
        <f>SUM(C556:C563)</f>
        <v>0</v>
      </c>
      <c r="D564" s="220">
        <f t="shared" ref="D564:M564" si="141">SUM(D556:D563)</f>
        <v>0</v>
      </c>
      <c r="E564" s="220">
        <f t="shared" si="141"/>
        <v>0</v>
      </c>
      <c r="F564" s="220"/>
      <c r="G564" s="220">
        <f t="shared" si="141"/>
        <v>0</v>
      </c>
      <c r="H564" s="171"/>
      <c r="I564" s="493">
        <f t="shared" si="141"/>
        <v>0</v>
      </c>
      <c r="J564" s="171">
        <f t="shared" si="141"/>
        <v>239936</v>
      </c>
      <c r="K564" s="171"/>
      <c r="L564" s="171">
        <f t="shared" ref="L564" si="142">SUM(L556:L563)</f>
        <v>533317</v>
      </c>
      <c r="M564" s="171">
        <f t="shared" si="141"/>
        <v>293381</v>
      </c>
      <c r="P564" s="229">
        <f>REVENUE!J118-EXPENSE!L564</f>
        <v>0</v>
      </c>
      <c r="Q564" s="172"/>
    </row>
    <row r="565" spans="1:18">
      <c r="A565" s="170"/>
      <c r="C565" s="182">
        <v>0</v>
      </c>
    </row>
    <row r="566" spans="1:18" s="384" customFormat="1">
      <c r="A566" s="382"/>
      <c r="B566" s="380" t="s">
        <v>500</v>
      </c>
      <c r="C566" s="383"/>
      <c r="D566" s="383"/>
      <c r="E566" s="383"/>
      <c r="F566" s="383"/>
      <c r="G566" s="383"/>
      <c r="H566" s="477"/>
      <c r="I566" s="504"/>
      <c r="J566" s="477"/>
      <c r="K566" s="477"/>
      <c r="L566" s="477">
        <v>1194350</v>
      </c>
      <c r="M566" s="169">
        <f t="shared" ref="M566:M567" si="143">L566-J566</f>
        <v>1194350</v>
      </c>
      <c r="P566" s="405"/>
    </row>
    <row r="567" spans="1:18" s="384" customFormat="1">
      <c r="A567" s="382"/>
      <c r="B567" s="380" t="s">
        <v>850</v>
      </c>
      <c r="C567" s="383"/>
      <c r="D567" s="383"/>
      <c r="E567" s="383"/>
      <c r="F567" s="383"/>
      <c r="G567" s="383"/>
      <c r="H567" s="477"/>
      <c r="I567" s="504"/>
      <c r="J567" s="477">
        <v>0</v>
      </c>
      <c r="K567" s="477"/>
      <c r="L567" s="477">
        <v>2000</v>
      </c>
      <c r="M567" s="169">
        <f t="shared" si="143"/>
        <v>2000</v>
      </c>
      <c r="P567" s="405"/>
      <c r="R567" s="487"/>
    </row>
    <row r="568" spans="1:18">
      <c r="A568" s="170"/>
    </row>
    <row r="569" spans="1:18" s="167" customFormat="1">
      <c r="A569" s="176">
        <v>291</v>
      </c>
      <c r="B569" s="167" t="s">
        <v>1363</v>
      </c>
      <c r="C569" s="171">
        <f>SUM(C566:C568)</f>
        <v>0</v>
      </c>
      <c r="D569" s="220">
        <f>SUM(D566:D568)</f>
        <v>0</v>
      </c>
      <c r="E569" s="220">
        <f>SUM(E566:E568)</f>
        <v>0</v>
      </c>
      <c r="F569" s="220"/>
      <c r="G569" s="220">
        <f>SUM(G566:G568)</f>
        <v>0</v>
      </c>
      <c r="H569" s="171"/>
      <c r="I569" s="493">
        <f>SUM(I566:I568)</f>
        <v>0</v>
      </c>
      <c r="J569" s="171">
        <f>SUM(J566:J568)</f>
        <v>0</v>
      </c>
      <c r="K569" s="171"/>
      <c r="L569" s="171">
        <f>SUM(L566:L568)</f>
        <v>1196350</v>
      </c>
      <c r="M569" s="171">
        <f>SUM(M566:M568)</f>
        <v>1196350</v>
      </c>
      <c r="P569" s="229">
        <f>REVENUE!J119-EXPENSE!L569</f>
        <v>0</v>
      </c>
      <c r="Q569" s="172"/>
    </row>
    <row r="570" spans="1:18" s="167" customFormat="1">
      <c r="A570" s="176"/>
      <c r="C570" s="467"/>
      <c r="D570" s="486"/>
      <c r="E570" s="486"/>
      <c r="F570" s="486"/>
      <c r="G570" s="486"/>
      <c r="H570" s="467"/>
      <c r="I570" s="505"/>
      <c r="J570" s="467"/>
      <c r="K570" s="467"/>
      <c r="L570" s="467"/>
      <c r="M570" s="467"/>
      <c r="P570" s="229"/>
      <c r="Q570" s="172"/>
    </row>
    <row r="571" spans="1:18" s="384" customFormat="1">
      <c r="A571" s="382"/>
      <c r="B571" s="380" t="s">
        <v>1292</v>
      </c>
      <c r="C571" s="383">
        <v>0</v>
      </c>
      <c r="D571" s="383"/>
      <c r="E571" s="383"/>
      <c r="F571" s="383"/>
      <c r="G571" s="383">
        <v>98196.5</v>
      </c>
      <c r="H571" s="477"/>
      <c r="I571" s="504">
        <v>98196.5</v>
      </c>
      <c r="J571" s="477"/>
      <c r="K571" s="477"/>
      <c r="L571" s="477"/>
      <c r="M571" s="169">
        <f t="shared" ref="M571" si="144">L571-J571</f>
        <v>0</v>
      </c>
      <c r="P571" s="405"/>
    </row>
    <row r="572" spans="1:18">
      <c r="A572" s="170"/>
      <c r="G572" s="182">
        <v>0</v>
      </c>
      <c r="I572" s="492">
        <v>0</v>
      </c>
      <c r="J572" s="168">
        <v>0</v>
      </c>
      <c r="L572" s="168">
        <v>0</v>
      </c>
    </row>
    <row r="573" spans="1:18" s="167" customFormat="1">
      <c r="A573" s="176">
        <v>291</v>
      </c>
      <c r="B573" s="167" t="s">
        <v>1293</v>
      </c>
      <c r="C573" s="171">
        <f t="shared" ref="C573:M573" si="145">SUM(C571:C572)</f>
        <v>0</v>
      </c>
      <c r="D573" s="220">
        <f t="shared" si="145"/>
        <v>0</v>
      </c>
      <c r="E573" s="220">
        <f t="shared" si="145"/>
        <v>0</v>
      </c>
      <c r="F573" s="220"/>
      <c r="G573" s="220">
        <f t="shared" si="145"/>
        <v>98196.5</v>
      </c>
      <c r="H573" s="171"/>
      <c r="I573" s="493">
        <f t="shared" ref="I573" si="146">SUM(I571:I572)</f>
        <v>98196.5</v>
      </c>
      <c r="J573" s="171">
        <f t="shared" ref="J573:L573" si="147">SUM(J571:J572)</f>
        <v>0</v>
      </c>
      <c r="K573" s="171"/>
      <c r="L573" s="171">
        <f t="shared" si="147"/>
        <v>0</v>
      </c>
      <c r="M573" s="171">
        <f t="shared" si="145"/>
        <v>0</v>
      </c>
      <c r="P573" s="229">
        <f>REVENUE!J113-EXPENSE!L573</f>
        <v>0</v>
      </c>
      <c r="Q573" s="172"/>
    </row>
    <row r="574" spans="1:18">
      <c r="A574" s="170"/>
    </row>
    <row r="575" spans="1:18" s="384" customFormat="1">
      <c r="A575" s="382"/>
      <c r="B575" s="380" t="s">
        <v>1219</v>
      </c>
      <c r="C575" s="383">
        <v>0</v>
      </c>
      <c r="D575" s="383"/>
      <c r="E575" s="383"/>
      <c r="F575" s="383"/>
      <c r="G575" s="383">
        <f>17533.86-404.86</f>
        <v>17129</v>
      </c>
      <c r="H575" s="477"/>
      <c r="I575" s="504">
        <v>21662</v>
      </c>
      <c r="J575" s="477"/>
      <c r="K575" s="477"/>
      <c r="L575" s="477">
        <v>4610.1400000000003</v>
      </c>
      <c r="M575" s="169">
        <f t="shared" ref="M575:M576" si="148">L575-J575</f>
        <v>4610.1400000000003</v>
      </c>
      <c r="P575" s="405"/>
    </row>
    <row r="576" spans="1:18" s="384" customFormat="1">
      <c r="A576" s="382"/>
      <c r="B576" s="380" t="s">
        <v>850</v>
      </c>
      <c r="C576" s="383"/>
      <c r="D576" s="383"/>
      <c r="E576" s="383"/>
      <c r="F576" s="383"/>
      <c r="G576" s="383">
        <v>404.86</v>
      </c>
      <c r="H576" s="477"/>
      <c r="I576" s="504">
        <v>512</v>
      </c>
      <c r="J576" s="477"/>
      <c r="K576" s="477"/>
      <c r="L576" s="477">
        <v>0</v>
      </c>
      <c r="M576" s="169">
        <f t="shared" si="148"/>
        <v>0</v>
      </c>
      <c r="P576" s="405"/>
    </row>
    <row r="577" spans="1:17">
      <c r="A577" s="170"/>
    </row>
    <row r="578" spans="1:17" s="167" customFormat="1">
      <c r="A578" s="176"/>
      <c r="B578" s="167" t="s">
        <v>1219</v>
      </c>
      <c r="C578" s="171">
        <f>SUM(C575:C577)</f>
        <v>0</v>
      </c>
      <c r="D578" s="220">
        <f t="shared" ref="D578:M578" si="149">SUM(D575:D577)</f>
        <v>0</v>
      </c>
      <c r="E578" s="220">
        <f t="shared" si="149"/>
        <v>0</v>
      </c>
      <c r="F578" s="220"/>
      <c r="G578" s="220">
        <f t="shared" si="149"/>
        <v>17533.86</v>
      </c>
      <c r="H578" s="171"/>
      <c r="I578" s="493">
        <f t="shared" ref="I578" si="150">SUM(I575:I577)</f>
        <v>22174</v>
      </c>
      <c r="J578" s="171">
        <f t="shared" ref="J578:L578" si="151">SUM(J575:J577)</f>
        <v>0</v>
      </c>
      <c r="K578" s="171"/>
      <c r="L578" s="171">
        <f t="shared" si="151"/>
        <v>4610.1400000000003</v>
      </c>
      <c r="M578" s="171">
        <f t="shared" si="149"/>
        <v>4610.1400000000003</v>
      </c>
      <c r="P578" s="229">
        <f>REVENUE!J114-EXPENSE!L578</f>
        <v>0</v>
      </c>
      <c r="Q578" s="172"/>
    </row>
    <row r="579" spans="1:17">
      <c r="A579" s="170"/>
      <c r="E579" s="190"/>
      <c r="F579" s="190"/>
      <c r="G579" s="190"/>
      <c r="H579" s="169"/>
      <c r="I579" s="506"/>
      <c r="J579" s="169"/>
      <c r="K579" s="169"/>
      <c r="L579" s="169"/>
      <c r="M579" s="168"/>
    </row>
    <row r="580" spans="1:17">
      <c r="A580" s="196"/>
      <c r="B580" s="197" t="s">
        <v>909</v>
      </c>
      <c r="C580" s="219">
        <v>0</v>
      </c>
      <c r="D580" s="219">
        <v>0</v>
      </c>
      <c r="E580" s="190">
        <v>844.93</v>
      </c>
      <c r="F580" s="190"/>
      <c r="G580" s="190">
        <v>0</v>
      </c>
      <c r="H580" s="169"/>
      <c r="I580" s="506">
        <v>0</v>
      </c>
      <c r="J580" s="169">
        <v>0</v>
      </c>
      <c r="K580" s="169"/>
      <c r="L580" s="169">
        <v>0</v>
      </c>
      <c r="M580" s="169">
        <f t="shared" ref="M580" si="152">L580-J580</f>
        <v>0</v>
      </c>
    </row>
    <row r="581" spans="1:17">
      <c r="A581" s="170"/>
      <c r="E581" s="190"/>
      <c r="F581" s="190"/>
      <c r="G581" s="190"/>
      <c r="H581" s="169"/>
      <c r="I581" s="506"/>
      <c r="J581" s="169"/>
      <c r="K581" s="169"/>
      <c r="L581" s="169"/>
    </row>
    <row r="582" spans="1:17" s="167" customFormat="1">
      <c r="A582" s="176"/>
      <c r="B582" s="167" t="s">
        <v>910</v>
      </c>
      <c r="C582" s="171">
        <f>SUM(C580:C581)</f>
        <v>0</v>
      </c>
      <c r="D582" s="220">
        <f t="shared" ref="D582:M582" si="153">SUM(D580:D581)</f>
        <v>0</v>
      </c>
      <c r="E582" s="220">
        <f t="shared" si="153"/>
        <v>844.93</v>
      </c>
      <c r="F582" s="220"/>
      <c r="G582" s="220">
        <f t="shared" ref="G582" si="154">SUM(G580:G581)</f>
        <v>0</v>
      </c>
      <c r="H582" s="171"/>
      <c r="I582" s="493">
        <f t="shared" ref="I582" si="155">SUM(I580:I581)</f>
        <v>0</v>
      </c>
      <c r="J582" s="171">
        <f t="shared" ref="J582:L582" si="156">SUM(J580:J581)</f>
        <v>0</v>
      </c>
      <c r="K582" s="171"/>
      <c r="L582" s="171">
        <f t="shared" si="156"/>
        <v>0</v>
      </c>
      <c r="M582" s="171">
        <f t="shared" si="153"/>
        <v>0</v>
      </c>
      <c r="P582" s="229">
        <f>REVENUE!J44-EXPENSE!L582</f>
        <v>0</v>
      </c>
    </row>
    <row r="583" spans="1:17">
      <c r="A583" s="170"/>
      <c r="E583" s="190"/>
      <c r="F583" s="190"/>
      <c r="G583" s="190"/>
      <c r="H583" s="169"/>
      <c r="I583" s="506"/>
      <c r="J583" s="169"/>
      <c r="K583" s="169"/>
      <c r="L583" s="169"/>
      <c r="M583" s="168"/>
    </row>
    <row r="584" spans="1:17">
      <c r="A584" s="196"/>
      <c r="B584" s="197" t="s">
        <v>1038</v>
      </c>
      <c r="C584" s="219">
        <v>0</v>
      </c>
      <c r="D584" s="219">
        <v>0</v>
      </c>
      <c r="E584" s="190">
        <v>0</v>
      </c>
      <c r="F584" s="190"/>
      <c r="G584" s="190"/>
      <c r="H584" s="169"/>
      <c r="I584" s="506">
        <v>1526.88</v>
      </c>
      <c r="J584" s="169">
        <v>1526.88</v>
      </c>
      <c r="K584" s="169"/>
      <c r="L584" s="169">
        <v>1526.88</v>
      </c>
      <c r="M584" s="169">
        <f t="shared" ref="M584" si="157">L584-J584</f>
        <v>0</v>
      </c>
    </row>
    <row r="585" spans="1:17">
      <c r="A585" s="170"/>
      <c r="E585" s="190"/>
      <c r="F585" s="190"/>
      <c r="G585" s="190"/>
      <c r="H585" s="169"/>
      <c r="I585" s="506"/>
      <c r="J585" s="169"/>
      <c r="K585" s="169"/>
      <c r="L585" s="169"/>
    </row>
    <row r="586" spans="1:17" s="167" customFormat="1">
      <c r="A586" s="176"/>
      <c r="B586" s="167" t="s">
        <v>1038</v>
      </c>
      <c r="C586" s="171">
        <f>SUM(C584:C585)</f>
        <v>0</v>
      </c>
      <c r="D586" s="220">
        <f t="shared" ref="D586:M586" si="158">SUM(D584:D585)</f>
        <v>0</v>
      </c>
      <c r="E586" s="220">
        <f t="shared" si="158"/>
        <v>0</v>
      </c>
      <c r="F586" s="220"/>
      <c r="G586" s="220">
        <f t="shared" ref="G586" si="159">SUM(G584:G585)</f>
        <v>0</v>
      </c>
      <c r="H586" s="171"/>
      <c r="I586" s="493">
        <f t="shared" ref="I586" si="160">SUM(I584:I585)</f>
        <v>1526.88</v>
      </c>
      <c r="J586" s="171">
        <f t="shared" ref="J586:L586" si="161">SUM(J584:J585)</f>
        <v>1526.88</v>
      </c>
      <c r="K586" s="171"/>
      <c r="L586" s="171">
        <f t="shared" si="161"/>
        <v>1526.88</v>
      </c>
      <c r="M586" s="171">
        <f t="shared" si="158"/>
        <v>0</v>
      </c>
      <c r="P586" s="229">
        <f>REVENUE!J90-EXPENSE!L586</f>
        <v>0</v>
      </c>
    </row>
    <row r="587" spans="1:17" ht="9" customHeight="1">
      <c r="A587" s="170"/>
      <c r="E587" s="190"/>
      <c r="F587" s="190"/>
      <c r="G587" s="190"/>
      <c r="H587" s="169"/>
      <c r="I587" s="506"/>
      <c r="J587" s="169"/>
      <c r="K587" s="169"/>
      <c r="L587" s="169"/>
      <c r="M587" s="168"/>
    </row>
    <row r="588" spans="1:17">
      <c r="A588" s="196"/>
      <c r="B588" s="197" t="s">
        <v>1287</v>
      </c>
      <c r="C588" s="219">
        <v>0</v>
      </c>
      <c r="D588" s="219">
        <v>0</v>
      </c>
      <c r="E588" s="190">
        <v>0</v>
      </c>
      <c r="F588" s="190"/>
      <c r="G588" s="190">
        <v>3478.97</v>
      </c>
      <c r="H588" s="169"/>
      <c r="I588" s="506">
        <v>3478.97</v>
      </c>
      <c r="J588" s="169"/>
      <c r="K588" s="169"/>
      <c r="L588" s="169"/>
      <c r="M588" s="169">
        <f t="shared" ref="M588" si="162">L588-J588</f>
        <v>0</v>
      </c>
    </row>
    <row r="589" spans="1:17">
      <c r="A589" s="170"/>
      <c r="E589" s="190"/>
      <c r="F589" s="190"/>
      <c r="G589" s="190"/>
      <c r="H589" s="169"/>
      <c r="I589" s="506"/>
      <c r="J589" s="169"/>
      <c r="K589" s="169"/>
      <c r="L589" s="169"/>
    </row>
    <row r="590" spans="1:17" s="167" customFormat="1">
      <c r="A590" s="176">
        <v>261</v>
      </c>
      <c r="B590" s="167" t="s">
        <v>1290</v>
      </c>
      <c r="C590" s="171">
        <f>SUM(C588:C589)</f>
        <v>0</v>
      </c>
      <c r="D590" s="220">
        <f t="shared" ref="D590:M590" si="163">SUM(D588:D589)</f>
        <v>0</v>
      </c>
      <c r="E590" s="220">
        <f t="shared" si="163"/>
        <v>0</v>
      </c>
      <c r="F590" s="220"/>
      <c r="G590" s="220">
        <f t="shared" si="163"/>
        <v>3478.97</v>
      </c>
      <c r="H590" s="171"/>
      <c r="I590" s="493">
        <f t="shared" ref="I590" si="164">SUM(I588:I589)</f>
        <v>3478.97</v>
      </c>
      <c r="J590" s="171">
        <f t="shared" ref="J590:L590" si="165">SUM(J588:J589)</f>
        <v>0</v>
      </c>
      <c r="K590" s="171"/>
      <c r="L590" s="171">
        <f t="shared" si="165"/>
        <v>0</v>
      </c>
      <c r="M590" s="171">
        <f t="shared" si="163"/>
        <v>0</v>
      </c>
      <c r="P590" s="229">
        <f>REVENUE!J117-EXPENSE!L590</f>
        <v>0</v>
      </c>
    </row>
    <row r="591" spans="1:17" ht="9" customHeight="1">
      <c r="A591" s="170"/>
      <c r="E591" s="190"/>
      <c r="F591" s="190"/>
      <c r="G591" s="190"/>
      <c r="H591" s="169"/>
      <c r="I591" s="506"/>
      <c r="J591" s="169"/>
      <c r="K591" s="169"/>
      <c r="L591" s="169"/>
      <c r="M591" s="168"/>
    </row>
    <row r="592" spans="1:17">
      <c r="A592" s="196"/>
      <c r="B592" s="197" t="s">
        <v>1216</v>
      </c>
      <c r="C592" s="219">
        <v>0</v>
      </c>
      <c r="D592" s="219">
        <v>0</v>
      </c>
      <c r="E592" s="190">
        <v>0</v>
      </c>
      <c r="F592" s="190"/>
      <c r="G592" s="190">
        <v>500</v>
      </c>
      <c r="H592" s="169"/>
      <c r="I592" s="506">
        <v>500</v>
      </c>
      <c r="J592" s="169"/>
      <c r="K592" s="169"/>
      <c r="L592" s="169">
        <v>500</v>
      </c>
      <c r="M592" s="169">
        <f t="shared" ref="M592" si="166">L592-J592</f>
        <v>500</v>
      </c>
    </row>
    <row r="593" spans="1:16">
      <c r="A593" s="170"/>
      <c r="E593" s="190"/>
      <c r="F593" s="190"/>
      <c r="G593" s="190"/>
      <c r="H593" s="169"/>
      <c r="I593" s="506"/>
      <c r="J593" s="169"/>
      <c r="K593" s="169"/>
      <c r="L593" s="169"/>
    </row>
    <row r="594" spans="1:16" s="167" customFormat="1">
      <c r="A594" s="176">
        <v>261</v>
      </c>
      <c r="B594" s="167" t="s">
        <v>1216</v>
      </c>
      <c r="C594" s="171">
        <f>SUM(C592:C593)</f>
        <v>0</v>
      </c>
      <c r="D594" s="220">
        <f t="shared" ref="D594:M594" si="167">SUM(D592:D593)</f>
        <v>0</v>
      </c>
      <c r="E594" s="220">
        <f t="shared" si="167"/>
        <v>0</v>
      </c>
      <c r="F594" s="220"/>
      <c r="G594" s="220">
        <f t="shared" si="167"/>
        <v>500</v>
      </c>
      <c r="H594" s="171"/>
      <c r="I594" s="493">
        <f t="shared" ref="I594" si="168">SUM(I592:I593)</f>
        <v>500</v>
      </c>
      <c r="J594" s="171">
        <f t="shared" ref="J594:L594" si="169">SUM(J592:J593)</f>
        <v>0</v>
      </c>
      <c r="K594" s="171"/>
      <c r="L594" s="171">
        <f t="shared" si="169"/>
        <v>500</v>
      </c>
      <c r="M594" s="171">
        <f t="shared" si="167"/>
        <v>500</v>
      </c>
      <c r="P594" s="229">
        <f>REVENUE!J53-L594</f>
        <v>0</v>
      </c>
    </row>
    <row r="595" spans="1:16" ht="9" customHeight="1">
      <c r="A595" s="170"/>
      <c r="E595" s="190"/>
      <c r="F595" s="190"/>
      <c r="G595" s="190"/>
      <c r="H595" s="169"/>
      <c r="I595" s="506"/>
      <c r="J595" s="169"/>
      <c r="K595" s="169"/>
      <c r="L595" s="169"/>
      <c r="M595" s="168"/>
    </row>
    <row r="596" spans="1:16">
      <c r="A596" s="196"/>
      <c r="B596" s="197" t="s">
        <v>1291</v>
      </c>
      <c r="C596" s="219">
        <v>0</v>
      </c>
      <c r="D596" s="219">
        <v>0</v>
      </c>
      <c r="E596" s="190">
        <v>0</v>
      </c>
      <c r="F596" s="190"/>
      <c r="G596" s="190">
        <v>2940</v>
      </c>
      <c r="H596" s="169"/>
      <c r="I596" s="506">
        <v>2940</v>
      </c>
      <c r="J596" s="169"/>
      <c r="K596" s="169"/>
      <c r="L596" s="169"/>
      <c r="M596" s="169">
        <f t="shared" ref="M596" si="170">L596-J596</f>
        <v>0</v>
      </c>
    </row>
    <row r="597" spans="1:16">
      <c r="A597" s="170"/>
      <c r="E597" s="190"/>
      <c r="F597" s="190"/>
      <c r="G597" s="190"/>
      <c r="H597" s="169"/>
      <c r="I597" s="506"/>
      <c r="J597" s="169"/>
      <c r="K597" s="169"/>
      <c r="L597" s="169"/>
    </row>
    <row r="598" spans="1:16" s="167" customFormat="1">
      <c r="A598" s="176">
        <v>261</v>
      </c>
      <c r="B598" s="167" t="s">
        <v>1291</v>
      </c>
      <c r="C598" s="171">
        <f>SUM(C596:C597)</f>
        <v>0</v>
      </c>
      <c r="D598" s="220">
        <f t="shared" ref="D598:M598" si="171">SUM(D596:D597)</f>
        <v>0</v>
      </c>
      <c r="E598" s="220">
        <f t="shared" si="171"/>
        <v>0</v>
      </c>
      <c r="F598" s="220"/>
      <c r="G598" s="220">
        <f t="shared" si="171"/>
        <v>2940</v>
      </c>
      <c r="H598" s="171"/>
      <c r="I598" s="493">
        <f t="shared" ref="I598" si="172">SUM(I596:I597)</f>
        <v>2940</v>
      </c>
      <c r="J598" s="171">
        <f t="shared" ref="J598:L598" si="173">SUM(J596:J597)</f>
        <v>0</v>
      </c>
      <c r="K598" s="171"/>
      <c r="L598" s="171">
        <f t="shared" si="173"/>
        <v>0</v>
      </c>
      <c r="M598" s="171">
        <f t="shared" si="171"/>
        <v>0</v>
      </c>
      <c r="P598" s="229">
        <f>REVENUE!J49-EXPENSE!L598</f>
        <v>0</v>
      </c>
    </row>
    <row r="599" spans="1:16">
      <c r="A599" s="170"/>
      <c r="E599" s="190"/>
      <c r="F599" s="190"/>
      <c r="G599" s="190"/>
      <c r="H599" s="169"/>
      <c r="I599" s="506"/>
      <c r="J599" s="169"/>
      <c r="K599" s="169"/>
      <c r="L599" s="169"/>
      <c r="M599" s="168"/>
    </row>
    <row r="600" spans="1:16">
      <c r="A600" s="196"/>
      <c r="B600" s="197" t="s">
        <v>1303</v>
      </c>
      <c r="C600" s="219">
        <v>0</v>
      </c>
      <c r="D600" s="219">
        <v>0</v>
      </c>
      <c r="E600" s="190">
        <v>0</v>
      </c>
      <c r="F600" s="190"/>
      <c r="G600" s="190">
        <v>14886.3</v>
      </c>
      <c r="H600" s="169"/>
      <c r="I600" s="506">
        <v>14886.3</v>
      </c>
      <c r="J600" s="169"/>
      <c r="K600" s="169"/>
      <c r="L600" s="169"/>
      <c r="M600" s="169">
        <f t="shared" ref="M600" si="174">L600-J600</f>
        <v>0</v>
      </c>
    </row>
    <row r="601" spans="1:16">
      <c r="A601" s="170"/>
      <c r="E601" s="190"/>
      <c r="F601" s="190"/>
      <c r="G601" s="190"/>
      <c r="H601" s="169"/>
      <c r="I601" s="506"/>
      <c r="J601" s="169"/>
      <c r="K601" s="169"/>
      <c r="L601" s="169"/>
    </row>
    <row r="602" spans="1:16" s="167" customFormat="1">
      <c r="A602" s="176">
        <v>225</v>
      </c>
      <c r="B602" s="167" t="s">
        <v>1303</v>
      </c>
      <c r="C602" s="171">
        <f>SUM(C600:C601)</f>
        <v>0</v>
      </c>
      <c r="D602" s="220">
        <f t="shared" ref="D602:M602" si="175">SUM(D600:D601)</f>
        <v>0</v>
      </c>
      <c r="E602" s="220">
        <f t="shared" si="175"/>
        <v>0</v>
      </c>
      <c r="F602" s="220"/>
      <c r="G602" s="220">
        <f t="shared" si="175"/>
        <v>14886.3</v>
      </c>
      <c r="H602" s="171"/>
      <c r="I602" s="493">
        <f t="shared" ref="I602" si="176">SUM(I600:I601)</f>
        <v>14886.3</v>
      </c>
      <c r="J602" s="171">
        <f t="shared" ref="J602:L602" si="177">SUM(J600:J601)</f>
        <v>0</v>
      </c>
      <c r="K602" s="171"/>
      <c r="L602" s="171">
        <f t="shared" si="177"/>
        <v>0</v>
      </c>
      <c r="M602" s="171">
        <f t="shared" si="175"/>
        <v>0</v>
      </c>
      <c r="P602" s="229">
        <f>REVENUE!J115-EXPENSE!L602</f>
        <v>0</v>
      </c>
    </row>
    <row r="603" spans="1:16" s="167" customFormat="1">
      <c r="A603" s="176"/>
      <c r="C603" s="467"/>
      <c r="D603" s="233"/>
      <c r="E603" s="233"/>
      <c r="F603" s="233"/>
      <c r="G603" s="233"/>
      <c r="H603" s="468"/>
      <c r="I603" s="505"/>
      <c r="J603" s="468"/>
      <c r="K603" s="468"/>
      <c r="L603" s="468"/>
      <c r="M603" s="468"/>
      <c r="P603" s="229"/>
    </row>
    <row r="604" spans="1:16">
      <c r="A604" s="196"/>
      <c r="B604" s="197" t="s">
        <v>1420</v>
      </c>
      <c r="C604" s="219">
        <v>0</v>
      </c>
      <c r="D604" s="219">
        <v>0</v>
      </c>
      <c r="E604" s="190">
        <v>0</v>
      </c>
      <c r="F604" s="190"/>
      <c r="G604" s="190">
        <v>997.83</v>
      </c>
      <c r="H604" s="169"/>
      <c r="I604" s="506">
        <v>14886.3</v>
      </c>
      <c r="J604" s="169"/>
      <c r="K604" s="169"/>
      <c r="L604" s="169"/>
      <c r="M604" s="169">
        <f t="shared" ref="M604" si="178">L604-J604</f>
        <v>0</v>
      </c>
    </row>
    <row r="605" spans="1:16">
      <c r="A605" s="170"/>
      <c r="E605" s="190"/>
      <c r="F605" s="190"/>
      <c r="G605" s="190"/>
      <c r="H605" s="169"/>
      <c r="I605" s="506"/>
      <c r="J605" s="169"/>
      <c r="K605" s="169"/>
      <c r="L605" s="169"/>
    </row>
    <row r="606" spans="1:16" s="167" customFormat="1">
      <c r="A606" s="176">
        <v>216</v>
      </c>
      <c r="B606" s="167" t="s">
        <v>1420</v>
      </c>
      <c r="C606" s="171">
        <f>SUM(C604:C605)</f>
        <v>0</v>
      </c>
      <c r="D606" s="220">
        <f t="shared" ref="D606:E606" si="179">SUM(D604:D605)</f>
        <v>0</v>
      </c>
      <c r="E606" s="220">
        <f t="shared" si="179"/>
        <v>0</v>
      </c>
      <c r="F606" s="220"/>
      <c r="G606" s="220">
        <f t="shared" ref="G606" si="180">SUM(G604:G605)</f>
        <v>997.83</v>
      </c>
      <c r="H606" s="171"/>
      <c r="I606" s="493">
        <f t="shared" ref="I606:J606" si="181">SUM(I604:I605)</f>
        <v>14886.3</v>
      </c>
      <c r="J606" s="171">
        <f t="shared" si="181"/>
        <v>0</v>
      </c>
      <c r="K606" s="171"/>
      <c r="L606" s="171">
        <f t="shared" ref="L606:M606" si="182">SUM(L604:L605)</f>
        <v>0</v>
      </c>
      <c r="M606" s="171">
        <f t="shared" si="182"/>
        <v>0</v>
      </c>
      <c r="P606" s="229"/>
    </row>
    <row r="607" spans="1:16" s="167" customFormat="1">
      <c r="A607" s="176"/>
      <c r="C607" s="467"/>
      <c r="D607" s="233"/>
      <c r="E607" s="233"/>
      <c r="F607" s="233"/>
      <c r="G607" s="233"/>
      <c r="H607" s="468"/>
      <c r="I607" s="505"/>
      <c r="J607" s="468"/>
      <c r="K607" s="468"/>
      <c r="L607" s="468"/>
      <c r="M607" s="468"/>
      <c r="P607" s="229"/>
    </row>
    <row r="608" spans="1:16" s="167" customFormat="1" ht="16.5" thickBot="1">
      <c r="A608" s="176"/>
      <c r="B608" s="469"/>
      <c r="C608" s="402">
        <f>C27+C49+C82+C89+C121+C129+C133+C145+C163+C204+C219+C230+C273+C303+C322+C374+C391+C396+C416+C482+C491+C496+C502+C507+C512+C518+C525+C529+C536+C540+C544+C554+C573+C578+C582+C586+C590+C594+C598</f>
        <v>3520089.4149999996</v>
      </c>
      <c r="D608" s="188">
        <f t="shared" ref="D608:M608" si="183">D27+D49+D82+D89+D121+D129+D133+D145+D163+D204+D219+D230+D273+D303+D322+D374+D391+D396+D327+D416+D482+D491+D496+D502+D507+D512+D518+D525+D529+D536+D540+D544+D554+D564+D569+D573+D578+D582+D586+D590+D594+D598+D602</f>
        <v>3385232.3770000003</v>
      </c>
      <c r="E608" s="188">
        <f t="shared" si="183"/>
        <v>3425156.8800000004</v>
      </c>
      <c r="F608" s="188">
        <f t="shared" si="183"/>
        <v>0</v>
      </c>
      <c r="G608" s="188">
        <f t="shared" si="183"/>
        <v>3536833.3829999999</v>
      </c>
      <c r="H608" s="188">
        <f t="shared" si="183"/>
        <v>0</v>
      </c>
      <c r="I608" s="188" t="e">
        <f t="shared" si="183"/>
        <v>#REF!</v>
      </c>
      <c r="J608" s="188">
        <f t="shared" si="183"/>
        <v>3896813.2558100005</v>
      </c>
      <c r="K608" s="188">
        <f t="shared" si="183"/>
        <v>0</v>
      </c>
      <c r="L608" s="188">
        <f t="shared" si="183"/>
        <v>5612428.0584219992</v>
      </c>
      <c r="M608" s="188">
        <f t="shared" si="183"/>
        <v>1715614.8026119999</v>
      </c>
      <c r="P608" s="188">
        <f>P27+P49+P82+P89+P121+P129+P133+P145+P163+P204+P219+P230+P273+P303+P322+P374+P391+P396+P416+P482+P491+P496+P502+P507+P512+P518+P525+P529+P536+P540+P544+P554+P564+P569+P573+P578+P582+P586+P590+P594+P598+P602</f>
        <v>0</v>
      </c>
    </row>
    <row r="609" spans="1:16" s="167" customFormat="1" ht="16.5" thickTop="1">
      <c r="A609" s="176"/>
      <c r="C609" s="468"/>
      <c r="D609" s="233"/>
      <c r="E609" s="233"/>
      <c r="F609" s="233"/>
      <c r="G609" s="233"/>
      <c r="H609" s="468"/>
      <c r="I609" s="505"/>
      <c r="J609" s="468"/>
      <c r="K609" s="468"/>
      <c r="L609" s="468"/>
      <c r="M609" s="468"/>
      <c r="P609" s="229"/>
    </row>
    <row r="610" spans="1:16" s="167" customFormat="1">
      <c r="A610" s="176"/>
      <c r="C610" s="468"/>
      <c r="D610" s="233"/>
      <c r="E610" s="233"/>
      <c r="F610" s="233"/>
      <c r="G610" s="233"/>
      <c r="H610" s="468"/>
      <c r="I610" s="505"/>
      <c r="J610" s="468"/>
      <c r="K610" s="468"/>
      <c r="L610" s="468"/>
      <c r="M610" s="468"/>
      <c r="P610" s="229"/>
    </row>
    <row r="611" spans="1:16" s="167" customFormat="1">
      <c r="A611" s="176"/>
      <c r="C611" s="468"/>
      <c r="D611" s="233"/>
      <c r="E611" s="233"/>
      <c r="F611" s="233"/>
      <c r="G611" s="233"/>
      <c r="H611" s="468"/>
      <c r="I611" s="505"/>
      <c r="J611" s="468"/>
      <c r="K611" s="468"/>
      <c r="L611" s="468"/>
      <c r="M611" s="468"/>
      <c r="P611" s="229"/>
    </row>
    <row r="612" spans="1:16">
      <c r="A612" s="170"/>
      <c r="B612" s="164" t="s">
        <v>90</v>
      </c>
      <c r="D612" s="293">
        <v>0.39369999999999999</v>
      </c>
      <c r="E612" s="293">
        <v>0.39910000000000001</v>
      </c>
      <c r="F612" s="293"/>
      <c r="G612" s="293">
        <v>0.43219999999999997</v>
      </c>
      <c r="H612" s="293"/>
      <c r="I612" s="507">
        <v>0.44280000000000003</v>
      </c>
      <c r="J612" s="293">
        <v>0.44280000000000003</v>
      </c>
      <c r="K612" s="293"/>
      <c r="L612" s="293">
        <v>0.44280000000000003</v>
      </c>
      <c r="M612" s="522"/>
    </row>
    <row r="613" spans="1:16">
      <c r="A613" s="170"/>
      <c r="B613" s="164" t="s">
        <v>91</v>
      </c>
      <c r="D613" s="293">
        <v>7.6499999999999999E-2</v>
      </c>
      <c r="E613" s="293">
        <v>7.6499999999999999E-2</v>
      </c>
      <c r="F613" s="293"/>
      <c r="G613" s="293">
        <v>7.6499999999999999E-2</v>
      </c>
      <c r="H613" s="293"/>
      <c r="I613" s="507">
        <v>7.6499999999999999E-2</v>
      </c>
      <c r="J613" s="293">
        <v>7.6499999999999999E-2</v>
      </c>
      <c r="K613" s="293"/>
      <c r="L613" s="293">
        <v>7.6499999999999999E-2</v>
      </c>
    </row>
    <row r="614" spans="1:16">
      <c r="A614" s="170"/>
    </row>
    <row r="615" spans="1:16">
      <c r="A615" s="170"/>
    </row>
    <row r="616" spans="1:16">
      <c r="A616" s="170"/>
    </row>
    <row r="617" spans="1:16">
      <c r="A617" s="170"/>
      <c r="D617" s="190"/>
      <c r="E617" s="190"/>
      <c r="F617" s="190"/>
      <c r="G617" s="190"/>
      <c r="H617" s="169"/>
      <c r="I617" s="506"/>
      <c r="J617" s="169"/>
      <c r="K617" s="169"/>
      <c r="L617" s="169"/>
    </row>
    <row r="618" spans="1:16">
      <c r="A618" s="170" t="s">
        <v>284</v>
      </c>
      <c r="M618" s="168"/>
      <c r="N618" s="168">
        <f>N615-N589</f>
        <v>0</v>
      </c>
    </row>
    <row r="619" spans="1:16">
      <c r="A619" s="170" t="s">
        <v>49</v>
      </c>
      <c r="B619" s="191">
        <f>L27+L49+L82+L89+L529+L540+L554+L586</f>
        <v>1253506.2254729997</v>
      </c>
      <c r="C619" s="234"/>
    </row>
    <row r="620" spans="1:16">
      <c r="A620" s="170" t="s">
        <v>51</v>
      </c>
      <c r="B620" s="191">
        <f>L121+L482+L491+L502+L507+L512+L496+L518+L582+L416</f>
        <v>1264850.1950450002</v>
      </c>
      <c r="C620" s="234"/>
    </row>
    <row r="621" spans="1:16">
      <c r="A621" s="170" t="s">
        <v>53</v>
      </c>
      <c r="B621" s="191">
        <f>L133+L129+L525+L536+L606</f>
        <v>84081.052324000004</v>
      </c>
      <c r="C621" s="234"/>
    </row>
    <row r="622" spans="1:16">
      <c r="A622" s="170" t="s">
        <v>1444</v>
      </c>
      <c r="B622" s="191">
        <f>L327</f>
        <v>425</v>
      </c>
      <c r="C622" s="234"/>
    </row>
    <row r="623" spans="1:16">
      <c r="A623" s="170" t="s">
        <v>56</v>
      </c>
      <c r="B623" s="191">
        <f>L163+L145</f>
        <v>225104</v>
      </c>
      <c r="C623" s="234"/>
    </row>
    <row r="624" spans="1:16">
      <c r="A624" s="170" t="s">
        <v>58</v>
      </c>
      <c r="B624" s="191">
        <f>L204</f>
        <v>177238.07</v>
      </c>
      <c r="C624" s="234"/>
      <c r="P624" s="164"/>
    </row>
    <row r="625" spans="1:16">
      <c r="A625" s="170" t="s">
        <v>60</v>
      </c>
      <c r="B625" s="191">
        <f>L219+L230+L602</f>
        <v>136308</v>
      </c>
      <c r="C625" s="234"/>
      <c r="P625" s="164"/>
    </row>
    <row r="626" spans="1:16">
      <c r="A626" s="170" t="s">
        <v>62</v>
      </c>
      <c r="B626" s="191">
        <f>L273+L590+L594+L598</f>
        <v>327645.77470000001</v>
      </c>
      <c r="C626" s="234"/>
      <c r="P626" s="164"/>
    </row>
    <row r="627" spans="1:16">
      <c r="A627" s="170" t="s">
        <v>64</v>
      </c>
      <c r="B627" s="191">
        <f>L303</f>
        <v>237667.55328000002</v>
      </c>
      <c r="C627" s="234"/>
      <c r="P627" s="164"/>
    </row>
    <row r="628" spans="1:16">
      <c r="A628" s="170" t="s">
        <v>887</v>
      </c>
      <c r="B628" s="191">
        <f>L322</f>
        <v>62759.57</v>
      </c>
      <c r="C628" s="234"/>
      <c r="P628" s="164"/>
    </row>
    <row r="629" spans="1:16">
      <c r="A629" s="170" t="s">
        <v>66</v>
      </c>
      <c r="B629" s="191">
        <f>L544+L374+L573+L578+L564+L569</f>
        <v>1869458.2475999999</v>
      </c>
      <c r="C629" s="234"/>
      <c r="P629" s="164"/>
    </row>
    <row r="630" spans="1:16">
      <c r="A630" s="170" t="s">
        <v>38</v>
      </c>
      <c r="B630" s="191" t="s">
        <v>391</v>
      </c>
      <c r="C630" s="234"/>
      <c r="P630" s="164"/>
    </row>
    <row r="631" spans="1:16">
      <c r="A631" s="170" t="s">
        <v>285</v>
      </c>
      <c r="B631" s="191">
        <f>L396+L391</f>
        <v>-26615.630000000005</v>
      </c>
      <c r="C631" s="234"/>
      <c r="P631" s="164"/>
    </row>
    <row r="632" spans="1:16" ht="16.5" thickBot="1">
      <c r="A632" s="170"/>
      <c r="B632" s="192">
        <f>SUM(B619:B631)</f>
        <v>5612428.0584219992</v>
      </c>
      <c r="C632" s="226"/>
      <c r="M632" s="168"/>
      <c r="P632" s="164"/>
    </row>
    <row r="633" spans="1:16" ht="16.5" thickTop="1">
      <c r="A633" s="193" t="s">
        <v>286</v>
      </c>
      <c r="B633" s="194"/>
      <c r="M633" s="168"/>
      <c r="P633" s="164"/>
    </row>
    <row r="634" spans="1:16">
      <c r="B634" s="182">
        <f>L608-B632</f>
        <v>0</v>
      </c>
      <c r="M634" s="168"/>
      <c r="P634" s="164"/>
    </row>
    <row r="635" spans="1:16">
      <c r="B635" s="182"/>
      <c r="C635" s="164"/>
      <c r="M635" s="168"/>
      <c r="P635" s="164"/>
    </row>
    <row r="636" spans="1:16">
      <c r="B636" s="168"/>
      <c r="P636" s="164"/>
    </row>
  </sheetData>
  <sortState ref="A204:H208">
    <sortCondition ref="A204:A208"/>
  </sortState>
  <mergeCells count="5">
    <mergeCell ref="A1:M1"/>
    <mergeCell ref="A2:M2"/>
    <mergeCell ref="A3:M3"/>
    <mergeCell ref="A4:M4"/>
    <mergeCell ref="A5:M5"/>
  </mergeCells>
  <pageMargins left="0.2" right="0.2" top="0.75" bottom="0.75" header="0.3" footer="0.3"/>
  <pageSetup scale="46" fitToHeight="6" orientation="portrait" r:id="rId1"/>
  <rowBreaks count="6" manualBreakCount="6">
    <brk id="82" max="8" man="1"/>
    <brk id="163" max="8" man="1"/>
    <brk id="255" max="8" man="1"/>
    <brk id="356" max="8" man="1"/>
    <brk id="435" max="8" man="1"/>
    <brk id="51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4"/>
  <sheetViews>
    <sheetView workbookViewId="0">
      <selection activeCell="B18" sqref="B18"/>
    </sheetView>
  </sheetViews>
  <sheetFormatPr defaultRowHeight="15"/>
  <cols>
    <col min="1" max="1" width="32" style="361" customWidth="1"/>
    <col min="2" max="2" width="18.42578125" style="362" customWidth="1"/>
    <col min="3" max="3" width="5.7109375" style="302" customWidth="1"/>
    <col min="4" max="4" width="54.140625" style="361" customWidth="1"/>
    <col min="5" max="16384" width="9.140625" style="302"/>
  </cols>
  <sheetData>
    <row r="1" spans="1:4">
      <c r="A1" s="298" t="s">
        <v>1051</v>
      </c>
      <c r="B1" s="299"/>
      <c r="C1" s="300"/>
      <c r="D1" s="301"/>
    </row>
    <row r="2" spans="1:4">
      <c r="A2" s="303" t="s">
        <v>1052</v>
      </c>
      <c r="B2" s="299"/>
      <c r="C2" s="304"/>
      <c r="D2" s="305"/>
    </row>
    <row r="3" spans="1:4">
      <c r="A3" s="306" t="s">
        <v>1053</v>
      </c>
      <c r="B3" s="307">
        <v>290.32</v>
      </c>
      <c r="C3" s="308" t="s">
        <v>1054</v>
      </c>
      <c r="D3" s="306" t="s">
        <v>1055</v>
      </c>
    </row>
    <row r="4" spans="1:4">
      <c r="A4" s="306" t="s">
        <v>1056</v>
      </c>
      <c r="B4" s="307">
        <v>283.18</v>
      </c>
      <c r="C4" s="308" t="s">
        <v>1057</v>
      </c>
      <c r="D4" s="309" t="s">
        <v>1058</v>
      </c>
    </row>
    <row r="5" spans="1:4">
      <c r="A5" s="310" t="s">
        <v>1059</v>
      </c>
      <c r="B5" s="311">
        <f>(0.9*B3)+ (0.1*B4)</f>
        <v>289.60599999999999</v>
      </c>
      <c r="C5" s="308" t="s">
        <v>1060</v>
      </c>
      <c r="D5" s="306" t="s">
        <v>1061</v>
      </c>
    </row>
    <row r="6" spans="1:4">
      <c r="A6" s="306" t="s">
        <v>1062</v>
      </c>
      <c r="B6" s="307">
        <v>1.68</v>
      </c>
      <c r="C6" s="308" t="s">
        <v>1063</v>
      </c>
      <c r="D6" s="306" t="s">
        <v>1064</v>
      </c>
    </row>
    <row r="7" spans="1:4">
      <c r="A7" s="306" t="s">
        <v>1065</v>
      </c>
      <c r="B7" s="307">
        <v>1.82</v>
      </c>
      <c r="C7" s="308" t="s">
        <v>1066</v>
      </c>
      <c r="D7" s="309" t="s">
        <v>1067</v>
      </c>
    </row>
    <row r="8" spans="1:4">
      <c r="A8" s="310" t="s">
        <v>1068</v>
      </c>
      <c r="B8" s="311">
        <f>(0.9*B6)+ (0.1*B7)</f>
        <v>1.694</v>
      </c>
      <c r="C8" s="308" t="s">
        <v>1069</v>
      </c>
      <c r="D8" s="306" t="s">
        <v>1070</v>
      </c>
    </row>
    <row r="9" spans="1:4">
      <c r="A9" s="309" t="s">
        <v>1071</v>
      </c>
      <c r="B9" s="311">
        <f>B5+B8</f>
        <v>291.3</v>
      </c>
      <c r="C9" s="308" t="s">
        <v>1072</v>
      </c>
      <c r="D9" s="309" t="s">
        <v>1073</v>
      </c>
    </row>
    <row r="10" spans="1:4">
      <c r="A10" s="303" t="s">
        <v>1074</v>
      </c>
      <c r="B10" s="312"/>
      <c r="C10" s="313"/>
      <c r="D10" s="314"/>
    </row>
    <row r="11" spans="1:4">
      <c r="A11" s="309" t="s">
        <v>1075</v>
      </c>
      <c r="B11" s="315">
        <v>30428462</v>
      </c>
      <c r="C11" s="308" t="s">
        <v>1076</v>
      </c>
      <c r="D11" s="309" t="s">
        <v>1077</v>
      </c>
    </row>
    <row r="12" spans="1:4">
      <c r="A12" s="309" t="s">
        <v>1078</v>
      </c>
      <c r="B12" s="316">
        <v>1.7999999999999999E-2</v>
      </c>
      <c r="C12" s="308" t="s">
        <v>1079</v>
      </c>
      <c r="D12" s="309"/>
    </row>
    <row r="13" spans="1:4">
      <c r="A13" s="309" t="s">
        <v>1080</v>
      </c>
      <c r="B13" s="315">
        <v>1154838</v>
      </c>
      <c r="C13" s="308" t="s">
        <v>1081</v>
      </c>
      <c r="D13" s="309" t="s">
        <v>1082</v>
      </c>
    </row>
    <row r="14" spans="1:4">
      <c r="A14" s="309" t="s">
        <v>1078</v>
      </c>
      <c r="B14" s="316">
        <v>6.0000000000000001E-3</v>
      </c>
      <c r="C14" s="308" t="s">
        <v>1083</v>
      </c>
      <c r="D14" s="309"/>
    </row>
    <row r="15" spans="1:4" ht="45">
      <c r="A15" s="309" t="s">
        <v>1084</v>
      </c>
      <c r="B15" s="317">
        <f>B11*B12+B13*B14</f>
        <v>554641.34400000004</v>
      </c>
      <c r="C15" s="308" t="s">
        <v>1085</v>
      </c>
      <c r="D15" s="309" t="s">
        <v>1086</v>
      </c>
    </row>
    <row r="16" spans="1:4">
      <c r="A16" s="303" t="s">
        <v>1087</v>
      </c>
      <c r="B16" s="318"/>
      <c r="C16" s="313"/>
      <c r="D16" s="314"/>
    </row>
    <row r="17" spans="1:4">
      <c r="A17" s="306" t="s">
        <v>1088</v>
      </c>
      <c r="B17" s="319">
        <v>8231</v>
      </c>
      <c r="C17" s="308" t="s">
        <v>1089</v>
      </c>
      <c r="D17" s="306"/>
    </row>
    <row r="18" spans="1:4">
      <c r="A18" s="306" t="s">
        <v>1090</v>
      </c>
      <c r="B18" s="319">
        <v>8349</v>
      </c>
      <c r="C18" s="308" t="s">
        <v>1091</v>
      </c>
      <c r="D18" s="306"/>
    </row>
    <row r="19" spans="1:4" ht="30">
      <c r="A19" s="320" t="s">
        <v>1092</v>
      </c>
      <c r="B19" s="321">
        <f>IF(((MIN(B17,B18))-((B15)/B5)&lt;0),(0),(ROUND((MIN(B17,B18))-((B15)/B5),2)))</f>
        <v>6315.84</v>
      </c>
      <c r="C19" s="308" t="s">
        <v>1093</v>
      </c>
      <c r="D19" s="309" t="s">
        <v>1094</v>
      </c>
    </row>
    <row r="20" spans="1:4" ht="30">
      <c r="A20" s="320" t="s">
        <v>1095</v>
      </c>
      <c r="B20" s="321">
        <f>(B15)/B5</f>
        <v>1915.1583323549928</v>
      </c>
      <c r="C20" s="308" t="s">
        <v>1096</v>
      </c>
      <c r="D20" s="309" t="s">
        <v>1097</v>
      </c>
    </row>
    <row r="21" spans="1:4">
      <c r="A21" s="320" t="s">
        <v>1098</v>
      </c>
      <c r="B21" s="322">
        <v>4766.8900000000003</v>
      </c>
      <c r="C21" s="308" t="s">
        <v>1099</v>
      </c>
      <c r="D21" s="309" t="s">
        <v>1098</v>
      </c>
    </row>
    <row r="22" spans="1:4">
      <c r="A22" s="320" t="s">
        <v>1100</v>
      </c>
      <c r="B22" s="323">
        <v>6500</v>
      </c>
      <c r="C22" s="308" t="s">
        <v>1101</v>
      </c>
      <c r="D22" s="309" t="s">
        <v>1100</v>
      </c>
    </row>
    <row r="23" spans="1:4" ht="30">
      <c r="A23" s="320" t="s">
        <v>1102</v>
      </c>
      <c r="B23" s="323">
        <f>IF((MIN(B21,B22)-((B15)/B9)&lt;0),0,(ROUND(MIN(B21,B22)-((B15)/B9),2)))</f>
        <v>2862.87</v>
      </c>
      <c r="C23" s="308" t="s">
        <v>1103</v>
      </c>
      <c r="D23" s="309" t="s">
        <v>1104</v>
      </c>
    </row>
    <row r="24" spans="1:4">
      <c r="A24" s="303" t="s">
        <v>1105</v>
      </c>
      <c r="B24" s="324"/>
      <c r="C24" s="313"/>
      <c r="D24" s="314"/>
    </row>
    <row r="25" spans="1:4">
      <c r="A25" s="309" t="s">
        <v>1106</v>
      </c>
      <c r="B25" s="315">
        <v>162642.06</v>
      </c>
      <c r="C25" s="308" t="s">
        <v>1107</v>
      </c>
      <c r="D25" s="325" t="s">
        <v>1108</v>
      </c>
    </row>
    <row r="26" spans="1:4">
      <c r="A26" s="309" t="s">
        <v>1109</v>
      </c>
      <c r="B26" s="315">
        <v>0</v>
      </c>
      <c r="C26" s="308" t="s">
        <v>1110</v>
      </c>
      <c r="D26" s="325" t="s">
        <v>1111</v>
      </c>
    </row>
    <row r="27" spans="1:4" ht="45">
      <c r="A27" s="309" t="s">
        <v>1112</v>
      </c>
      <c r="B27" s="319">
        <v>0</v>
      </c>
      <c r="C27" s="326" t="s">
        <v>1113</v>
      </c>
      <c r="D27" s="327" t="s">
        <v>1114</v>
      </c>
    </row>
    <row r="28" spans="1:4" ht="45">
      <c r="A28" s="309" t="s">
        <v>1115</v>
      </c>
      <c r="B28" s="319">
        <v>0</v>
      </c>
      <c r="C28" s="308" t="s">
        <v>1116</v>
      </c>
      <c r="D28" s="309" t="s">
        <v>1114</v>
      </c>
    </row>
    <row r="29" spans="1:4" s="329" customFormat="1">
      <c r="A29" s="320" t="s">
        <v>1117</v>
      </c>
      <c r="B29" s="311">
        <f>B27+B28</f>
        <v>0</v>
      </c>
      <c r="C29" s="328" t="s">
        <v>1118</v>
      </c>
      <c r="D29" s="320" t="s">
        <v>1117</v>
      </c>
    </row>
    <row r="30" spans="1:4" s="329" customFormat="1" ht="30">
      <c r="A30" s="320" t="s">
        <v>1119</v>
      </c>
      <c r="B30" s="311">
        <f>(B25*0.0633359998)</f>
        <v>10301.097479631588</v>
      </c>
      <c r="C30" s="328" t="s">
        <v>1120</v>
      </c>
      <c r="D30" s="320" t="s">
        <v>1121</v>
      </c>
    </row>
    <row r="31" spans="1:4" s="329" customFormat="1">
      <c r="A31" s="320" t="s">
        <v>1122</v>
      </c>
      <c r="B31" s="311">
        <f>MIN(B27,B30)</f>
        <v>0</v>
      </c>
      <c r="C31" s="328" t="s">
        <v>1123</v>
      </c>
      <c r="D31" s="320" t="s">
        <v>1124</v>
      </c>
    </row>
    <row r="32" spans="1:4" s="329" customFormat="1" ht="30">
      <c r="A32" s="320" t="s">
        <v>1125</v>
      </c>
      <c r="B32" s="311">
        <f>(B26*0.704165)</f>
        <v>0</v>
      </c>
      <c r="C32" s="328" t="s">
        <v>1126</v>
      </c>
      <c r="D32" s="320" t="s">
        <v>1121</v>
      </c>
    </row>
    <row r="33" spans="1:4" s="329" customFormat="1">
      <c r="A33" s="320" t="s">
        <v>1127</v>
      </c>
      <c r="B33" s="311">
        <f>MIN(B28,B32)</f>
        <v>0</v>
      </c>
      <c r="C33" s="328" t="s">
        <v>1128</v>
      </c>
      <c r="D33" s="320" t="s">
        <v>1129</v>
      </c>
    </row>
    <row r="34" spans="1:4" s="329" customFormat="1">
      <c r="A34" s="320" t="s">
        <v>1130</v>
      </c>
      <c r="B34" s="311">
        <f>B31+B33</f>
        <v>0</v>
      </c>
      <c r="C34" s="328" t="s">
        <v>1131</v>
      </c>
      <c r="D34" s="320" t="s">
        <v>1132</v>
      </c>
    </row>
    <row r="35" spans="1:4" s="329" customFormat="1">
      <c r="A35" s="330"/>
      <c r="B35" s="331"/>
      <c r="C35" s="332"/>
      <c r="D35" s="333"/>
    </row>
    <row r="36" spans="1:4" s="329" customFormat="1">
      <c r="A36" s="334" t="s">
        <v>1133</v>
      </c>
      <c r="B36" s="299"/>
      <c r="D36" s="335"/>
    </row>
    <row r="37" spans="1:4" s="329" customFormat="1">
      <c r="A37" s="336" t="s">
        <v>1134</v>
      </c>
      <c r="B37" s="337"/>
      <c r="C37" s="338"/>
      <c r="D37" s="339"/>
    </row>
    <row r="38" spans="1:4" s="329" customFormat="1">
      <c r="A38" s="320" t="s">
        <v>1135</v>
      </c>
      <c r="B38" s="311">
        <f>B19*B5</f>
        <v>1829105.1590400001</v>
      </c>
      <c r="C38" s="328" t="s">
        <v>1136</v>
      </c>
      <c r="D38" s="320" t="s">
        <v>1137</v>
      </c>
    </row>
    <row r="39" spans="1:4" s="329" customFormat="1">
      <c r="A39" s="320" t="s">
        <v>1138</v>
      </c>
      <c r="B39" s="307">
        <v>0</v>
      </c>
      <c r="C39" s="328" t="s">
        <v>1139</v>
      </c>
      <c r="D39" s="320" t="s">
        <v>1140</v>
      </c>
    </row>
    <row r="40" spans="1:4" s="329" customFormat="1">
      <c r="A40" s="336" t="s">
        <v>1141</v>
      </c>
      <c r="B40" s="311">
        <f>IF(SUM(B38:B39)&lt;0,0,SUM(B38:B39))</f>
        <v>1829105.1590400001</v>
      </c>
      <c r="C40" s="328" t="s">
        <v>1142</v>
      </c>
      <c r="D40" s="320" t="s">
        <v>1143</v>
      </c>
    </row>
    <row r="41" spans="1:4" s="329" customFormat="1">
      <c r="A41" s="320" t="s">
        <v>1144</v>
      </c>
      <c r="B41" s="311">
        <f>IF(B17&gt;B18,B18*B8,B17*B8)</f>
        <v>13943.314</v>
      </c>
      <c r="C41" s="328" t="s">
        <v>1145</v>
      </c>
      <c r="D41" s="320" t="s">
        <v>1146</v>
      </c>
    </row>
    <row r="42" spans="1:4" s="329" customFormat="1">
      <c r="A42" s="320" t="s">
        <v>1147</v>
      </c>
      <c r="B42" s="307">
        <v>0</v>
      </c>
      <c r="C42" s="328" t="s">
        <v>1148</v>
      </c>
      <c r="D42" s="320" t="s">
        <v>1140</v>
      </c>
    </row>
    <row r="43" spans="1:4" s="329" customFormat="1">
      <c r="A43" s="336" t="s">
        <v>1149</v>
      </c>
      <c r="B43" s="311">
        <f>IF(SUM(B41:B42)&lt;0,0,SUM(B41:B42))</f>
        <v>13943.314</v>
      </c>
      <c r="C43" s="340" t="s">
        <v>1150</v>
      </c>
      <c r="D43" s="320" t="s">
        <v>1151</v>
      </c>
    </row>
    <row r="44" spans="1:4" s="329" customFormat="1" ht="18.75" customHeight="1">
      <c r="A44" s="320" t="s">
        <v>1152</v>
      </c>
      <c r="B44" s="311">
        <f>B25*0.286138</f>
        <v>46538.073764280001</v>
      </c>
      <c r="C44" s="328" t="s">
        <v>1153</v>
      </c>
      <c r="D44" s="320" t="s">
        <v>1154</v>
      </c>
    </row>
    <row r="45" spans="1:4" s="329" customFormat="1" ht="26.25" customHeight="1">
      <c r="A45" s="320" t="s">
        <v>1155</v>
      </c>
      <c r="B45" s="311">
        <f>B26*0.704165</f>
        <v>0</v>
      </c>
      <c r="C45" s="328" t="s">
        <v>1156</v>
      </c>
      <c r="D45" s="320" t="s">
        <v>1157</v>
      </c>
    </row>
    <row r="46" spans="1:4" s="329" customFormat="1" ht="18.75" customHeight="1">
      <c r="A46" s="336" t="s">
        <v>1158</v>
      </c>
      <c r="B46" s="311">
        <f>SUM(B44:B45)</f>
        <v>46538.073764280001</v>
      </c>
      <c r="C46" s="340" t="s">
        <v>1159</v>
      </c>
      <c r="D46" s="320" t="s">
        <v>1160</v>
      </c>
    </row>
    <row r="47" spans="1:4" s="329" customFormat="1" ht="18.75" customHeight="1">
      <c r="A47" s="336" t="s">
        <v>1161</v>
      </c>
      <c r="B47" s="312"/>
      <c r="C47" s="341"/>
      <c r="D47" s="330"/>
    </row>
    <row r="48" spans="1:4" s="329" customFormat="1" ht="25.5" customHeight="1">
      <c r="A48" s="336" t="s">
        <v>1162</v>
      </c>
      <c r="B48" s="342">
        <f>IF(B34-(B46-B43)&lt;0,0, B34-(B46-B43))</f>
        <v>0</v>
      </c>
      <c r="C48" s="328" t="s">
        <v>1163</v>
      </c>
      <c r="D48" s="320"/>
    </row>
    <row r="49" spans="1:4" s="329" customFormat="1" ht="15.75" customHeight="1">
      <c r="A49" s="336" t="s">
        <v>1164</v>
      </c>
      <c r="B49" s="343"/>
      <c r="C49" s="341"/>
      <c r="D49" s="330"/>
    </row>
    <row r="50" spans="1:4" s="329" customFormat="1">
      <c r="A50" s="336" t="s">
        <v>1165</v>
      </c>
      <c r="B50" s="311">
        <f>B40+B43+(B46-B43)+B48</f>
        <v>1875643.23280428</v>
      </c>
      <c r="C50" s="328" t="s">
        <v>1166</v>
      </c>
      <c r="D50" s="320"/>
    </row>
    <row r="51" spans="1:4" s="329" customFormat="1" ht="26.25">
      <c r="A51" s="334" t="s">
        <v>1167</v>
      </c>
      <c r="B51" s="312"/>
      <c r="C51" s="341"/>
      <c r="D51" s="330"/>
    </row>
    <row r="52" spans="1:4" s="329" customFormat="1" ht="17.25" customHeight="1">
      <c r="A52" s="336" t="s">
        <v>1168</v>
      </c>
      <c r="B52" s="311">
        <f>B23*B9</f>
        <v>833954.03099999996</v>
      </c>
      <c r="C52" s="328" t="s">
        <v>1169</v>
      </c>
      <c r="D52" s="320" t="s">
        <v>1170</v>
      </c>
    </row>
    <row r="53" spans="1:4" s="329" customFormat="1">
      <c r="A53" s="336" t="s">
        <v>1171</v>
      </c>
      <c r="B53" s="311">
        <f>B46</f>
        <v>46538.073764280001</v>
      </c>
      <c r="C53" s="328" t="s">
        <v>1172</v>
      </c>
      <c r="D53" s="320" t="s">
        <v>1173</v>
      </c>
    </row>
    <row r="54" spans="1:4" s="329" customFormat="1">
      <c r="A54" s="336" t="s">
        <v>1174</v>
      </c>
      <c r="B54" s="311">
        <f>B50-B52-B53</f>
        <v>995151.1280400001</v>
      </c>
      <c r="C54" s="328" t="s">
        <v>1175</v>
      </c>
      <c r="D54" s="320" t="s">
        <v>1176</v>
      </c>
    </row>
    <row r="55" spans="1:4" s="329" customFormat="1">
      <c r="A55" s="344"/>
      <c r="B55" s="345"/>
      <c r="C55" s="302"/>
      <c r="D55" s="344"/>
    </row>
    <row r="56" spans="1:4" s="329" customFormat="1">
      <c r="A56" s="346" t="s">
        <v>1177</v>
      </c>
      <c r="B56" s="345"/>
      <c r="C56" s="302"/>
      <c r="D56" s="344"/>
    </row>
    <row r="57" spans="1:4" s="329" customFormat="1">
      <c r="A57" s="347"/>
      <c r="B57" s="348"/>
      <c r="C57" s="349"/>
      <c r="D57" s="350"/>
    </row>
    <row r="58" spans="1:4" s="329" customFormat="1">
      <c r="A58" s="351"/>
      <c r="B58" s="352"/>
      <c r="C58" s="353"/>
      <c r="D58" s="354"/>
    </row>
    <row r="59" spans="1:4" s="329" customFormat="1">
      <c r="A59" s="351"/>
      <c r="B59" s="352"/>
      <c r="C59" s="353"/>
      <c r="D59" s="354"/>
    </row>
    <row r="60" spans="1:4" s="329" customFormat="1">
      <c r="A60" s="351"/>
      <c r="B60" s="352"/>
      <c r="C60" s="353"/>
      <c r="D60" s="354"/>
    </row>
    <row r="61" spans="1:4" s="329" customFormat="1">
      <c r="A61" s="355"/>
      <c r="B61" s="356"/>
      <c r="C61" s="357"/>
      <c r="D61" s="358"/>
    </row>
    <row r="62" spans="1:4">
      <c r="A62" s="359"/>
      <c r="B62" s="360"/>
    </row>
    <row r="63" spans="1:4">
      <c r="A63" s="359"/>
    </row>
    <row r="64" spans="1:4">
      <c r="A64" s="359"/>
    </row>
    <row r="65" spans="1:4">
      <c r="A65" s="359"/>
    </row>
    <row r="67" spans="1:4">
      <c r="A67" s="363"/>
    </row>
    <row r="71" spans="1:4">
      <c r="A71" s="363"/>
    </row>
    <row r="78" spans="1:4">
      <c r="A78" s="363"/>
    </row>
    <row r="80" spans="1:4">
      <c r="C80" s="364"/>
      <c r="D80" s="365"/>
    </row>
    <row r="85" spans="1:3" s="302" customFormat="1">
      <c r="A85" s="363"/>
      <c r="B85" s="362"/>
    </row>
    <row r="86" spans="1:3" s="302" customFormat="1">
      <c r="A86" s="366"/>
      <c r="B86" s="362"/>
    </row>
    <row r="89" spans="1:3" s="302" customFormat="1">
      <c r="A89" s="366"/>
      <c r="B89" s="362"/>
    </row>
    <row r="91" spans="1:3" s="302" customFormat="1">
      <c r="A91" s="361"/>
      <c r="B91" s="362"/>
      <c r="C91" s="367"/>
    </row>
    <row r="92" spans="1:3" s="302" customFormat="1">
      <c r="A92" s="366"/>
      <c r="B92" s="362"/>
    </row>
    <row r="94" spans="1:3" s="302" customFormat="1">
      <c r="A94" s="361"/>
      <c r="B94" s="362"/>
      <c r="C94" s="367"/>
    </row>
    <row r="95" spans="1:3" s="302" customFormat="1">
      <c r="A95" s="366"/>
      <c r="B95" s="362"/>
    </row>
    <row r="97" spans="1:1" s="302" customFormat="1">
      <c r="A97" s="366"/>
    </row>
    <row r="98" spans="1:1" s="302" customFormat="1">
      <c r="A98" s="366"/>
    </row>
    <row r="99" spans="1:1" s="302" customFormat="1">
      <c r="A99" s="366"/>
    </row>
    <row r="101" spans="1:1" s="302" customFormat="1">
      <c r="A101" s="366"/>
    </row>
    <row r="102" spans="1:1" s="302" customFormat="1">
      <c r="A102" s="366"/>
    </row>
    <row r="103" spans="1:1" s="302" customFormat="1">
      <c r="A103" s="366"/>
    </row>
    <row r="104" spans="1:1" s="302" customFormat="1">
      <c r="A104" s="366"/>
    </row>
  </sheetData>
  <conditionalFormatting sqref="A57:D61 A19:A54 B41:B42 B44:B54 B19:B39 C19:D54">
    <cfRule type="expression" dxfId="7" priority="4" stopIfTrue="1">
      <formula>CELL("protect",A19)</formula>
    </cfRule>
  </conditionalFormatting>
  <conditionalFormatting sqref="A55:D56">
    <cfRule type="expression" dxfId="6" priority="5" stopIfTrue="1">
      <formula>CELL("protect",$A$1)</formula>
    </cfRule>
  </conditionalFormatting>
  <conditionalFormatting sqref="B40 B43">
    <cfRule type="expression" dxfId="5" priority="6" stopIfTrue="1">
      <formula>CELL("protect",B40)</formula>
    </cfRule>
  </conditionalFormatting>
  <conditionalFormatting sqref="A1:D2 A10:A18 B9:D18">
    <cfRule type="expression" dxfId="4" priority="3" stopIfTrue="1">
      <formula>CELL("protect",A1)</formula>
    </cfRule>
  </conditionalFormatting>
  <conditionalFormatting sqref="B3:D8">
    <cfRule type="expression" dxfId="3" priority="2" stopIfTrue="1">
      <formula>CELL("protect",B3)</formula>
    </cfRule>
  </conditionalFormatting>
  <conditionalFormatting sqref="A3:A9">
    <cfRule type="expression" dxfId="2" priority="1" stopIfTrue="1">
      <formula>CELL("protect",A3)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0"/>
  <sheetViews>
    <sheetView topLeftCell="A4" workbookViewId="0">
      <selection activeCell="I14" sqref="I14"/>
    </sheetView>
  </sheetViews>
  <sheetFormatPr defaultRowHeight="15"/>
  <cols>
    <col min="1" max="1" width="8.28515625" style="413" customWidth="1"/>
    <col min="2" max="2" width="12.140625" style="413" customWidth="1"/>
    <col min="3" max="3" width="15.28515625" style="413" bestFit="1" customWidth="1"/>
    <col min="4" max="4" width="9.28515625" style="413" customWidth="1"/>
    <col min="5" max="5" width="12.5703125" style="413" customWidth="1"/>
    <col min="6" max="6" width="4.140625" style="413" customWidth="1"/>
    <col min="7" max="7" width="12.85546875" style="413" customWidth="1"/>
    <col min="8" max="8" width="22.5703125" style="413" customWidth="1"/>
    <col min="9" max="9" width="13.42578125" style="413" bestFit="1" customWidth="1"/>
    <col min="10" max="10" width="82.7109375" style="413" bestFit="1" customWidth="1"/>
    <col min="11" max="256" width="9.140625" style="413"/>
    <col min="257" max="257" width="8.28515625" style="413" customWidth="1"/>
    <col min="258" max="258" width="12.140625" style="413" customWidth="1"/>
    <col min="259" max="259" width="12.5703125" style="413" customWidth="1"/>
    <col min="260" max="260" width="9.28515625" style="413" customWidth="1"/>
    <col min="261" max="261" width="12.5703125" style="413" customWidth="1"/>
    <col min="262" max="262" width="4.140625" style="413" customWidth="1"/>
    <col min="263" max="263" width="12.85546875" style="413" customWidth="1"/>
    <col min="264" max="264" width="22.5703125" style="413" customWidth="1"/>
    <col min="265" max="265" width="13.42578125" style="413" bestFit="1" customWidth="1"/>
    <col min="266" max="266" width="82.7109375" style="413" bestFit="1" customWidth="1"/>
    <col min="267" max="512" width="9.140625" style="413"/>
    <col min="513" max="513" width="8.28515625" style="413" customWidth="1"/>
    <col min="514" max="514" width="12.140625" style="413" customWidth="1"/>
    <col min="515" max="515" width="12.5703125" style="413" customWidth="1"/>
    <col min="516" max="516" width="9.28515625" style="413" customWidth="1"/>
    <col min="517" max="517" width="12.5703125" style="413" customWidth="1"/>
    <col min="518" max="518" width="4.140625" style="413" customWidth="1"/>
    <col min="519" max="519" width="12.85546875" style="413" customWidth="1"/>
    <col min="520" max="520" width="22.5703125" style="413" customWidth="1"/>
    <col min="521" max="521" width="13.42578125" style="413" bestFit="1" customWidth="1"/>
    <col min="522" max="522" width="82.7109375" style="413" bestFit="1" customWidth="1"/>
    <col min="523" max="768" width="9.140625" style="413"/>
    <col min="769" max="769" width="8.28515625" style="413" customWidth="1"/>
    <col min="770" max="770" width="12.140625" style="413" customWidth="1"/>
    <col min="771" max="771" width="12.5703125" style="413" customWidth="1"/>
    <col min="772" max="772" width="9.28515625" style="413" customWidth="1"/>
    <col min="773" max="773" width="12.5703125" style="413" customWidth="1"/>
    <col min="774" max="774" width="4.140625" style="413" customWidth="1"/>
    <col min="775" max="775" width="12.85546875" style="413" customWidth="1"/>
    <col min="776" max="776" width="22.5703125" style="413" customWidth="1"/>
    <col min="777" max="777" width="13.42578125" style="413" bestFit="1" customWidth="1"/>
    <col min="778" max="778" width="82.7109375" style="413" bestFit="1" customWidth="1"/>
    <col min="779" max="1024" width="9.140625" style="413"/>
    <col min="1025" max="1025" width="8.28515625" style="413" customWidth="1"/>
    <col min="1026" max="1026" width="12.140625" style="413" customWidth="1"/>
    <col min="1027" max="1027" width="12.5703125" style="413" customWidth="1"/>
    <col min="1028" max="1028" width="9.28515625" style="413" customWidth="1"/>
    <col min="1029" max="1029" width="12.5703125" style="413" customWidth="1"/>
    <col min="1030" max="1030" width="4.140625" style="413" customWidth="1"/>
    <col min="1031" max="1031" width="12.85546875" style="413" customWidth="1"/>
    <col min="1032" max="1032" width="22.5703125" style="413" customWidth="1"/>
    <col min="1033" max="1033" width="13.42578125" style="413" bestFit="1" customWidth="1"/>
    <col min="1034" max="1034" width="82.7109375" style="413" bestFit="1" customWidth="1"/>
    <col min="1035" max="1280" width="9.140625" style="413"/>
    <col min="1281" max="1281" width="8.28515625" style="413" customWidth="1"/>
    <col min="1282" max="1282" width="12.140625" style="413" customWidth="1"/>
    <col min="1283" max="1283" width="12.5703125" style="413" customWidth="1"/>
    <col min="1284" max="1284" width="9.28515625" style="413" customWidth="1"/>
    <col min="1285" max="1285" width="12.5703125" style="413" customWidth="1"/>
    <col min="1286" max="1286" width="4.140625" style="413" customWidth="1"/>
    <col min="1287" max="1287" width="12.85546875" style="413" customWidth="1"/>
    <col min="1288" max="1288" width="22.5703125" style="413" customWidth="1"/>
    <col min="1289" max="1289" width="13.42578125" style="413" bestFit="1" customWidth="1"/>
    <col min="1290" max="1290" width="82.7109375" style="413" bestFit="1" customWidth="1"/>
    <col min="1291" max="1536" width="9.140625" style="413"/>
    <col min="1537" max="1537" width="8.28515625" style="413" customWidth="1"/>
    <col min="1538" max="1538" width="12.140625" style="413" customWidth="1"/>
    <col min="1539" max="1539" width="12.5703125" style="413" customWidth="1"/>
    <col min="1540" max="1540" width="9.28515625" style="413" customWidth="1"/>
    <col min="1541" max="1541" width="12.5703125" style="413" customWidth="1"/>
    <col min="1542" max="1542" width="4.140625" style="413" customWidth="1"/>
    <col min="1543" max="1543" width="12.85546875" style="413" customWidth="1"/>
    <col min="1544" max="1544" width="22.5703125" style="413" customWidth="1"/>
    <col min="1545" max="1545" width="13.42578125" style="413" bestFit="1" customWidth="1"/>
    <col min="1546" max="1546" width="82.7109375" style="413" bestFit="1" customWidth="1"/>
    <col min="1547" max="1792" width="9.140625" style="413"/>
    <col min="1793" max="1793" width="8.28515625" style="413" customWidth="1"/>
    <col min="1794" max="1794" width="12.140625" style="413" customWidth="1"/>
    <col min="1795" max="1795" width="12.5703125" style="413" customWidth="1"/>
    <col min="1796" max="1796" width="9.28515625" style="413" customWidth="1"/>
    <col min="1797" max="1797" width="12.5703125" style="413" customWidth="1"/>
    <col min="1798" max="1798" width="4.140625" style="413" customWidth="1"/>
    <col min="1799" max="1799" width="12.85546875" style="413" customWidth="1"/>
    <col min="1800" max="1800" width="22.5703125" style="413" customWidth="1"/>
    <col min="1801" max="1801" width="13.42578125" style="413" bestFit="1" customWidth="1"/>
    <col min="1802" max="1802" width="82.7109375" style="413" bestFit="1" customWidth="1"/>
    <col min="1803" max="2048" width="9.140625" style="413"/>
    <col min="2049" max="2049" width="8.28515625" style="413" customWidth="1"/>
    <col min="2050" max="2050" width="12.140625" style="413" customWidth="1"/>
    <col min="2051" max="2051" width="12.5703125" style="413" customWidth="1"/>
    <col min="2052" max="2052" width="9.28515625" style="413" customWidth="1"/>
    <col min="2053" max="2053" width="12.5703125" style="413" customWidth="1"/>
    <col min="2054" max="2054" width="4.140625" style="413" customWidth="1"/>
    <col min="2055" max="2055" width="12.85546875" style="413" customWidth="1"/>
    <col min="2056" max="2056" width="22.5703125" style="413" customWidth="1"/>
    <col min="2057" max="2057" width="13.42578125" style="413" bestFit="1" customWidth="1"/>
    <col min="2058" max="2058" width="82.7109375" style="413" bestFit="1" customWidth="1"/>
    <col min="2059" max="2304" width="9.140625" style="413"/>
    <col min="2305" max="2305" width="8.28515625" style="413" customWidth="1"/>
    <col min="2306" max="2306" width="12.140625" style="413" customWidth="1"/>
    <col min="2307" max="2307" width="12.5703125" style="413" customWidth="1"/>
    <col min="2308" max="2308" width="9.28515625" style="413" customWidth="1"/>
    <col min="2309" max="2309" width="12.5703125" style="413" customWidth="1"/>
    <col min="2310" max="2310" width="4.140625" style="413" customWidth="1"/>
    <col min="2311" max="2311" width="12.85546875" style="413" customWidth="1"/>
    <col min="2312" max="2312" width="22.5703125" style="413" customWidth="1"/>
    <col min="2313" max="2313" width="13.42578125" style="413" bestFit="1" customWidth="1"/>
    <col min="2314" max="2314" width="82.7109375" style="413" bestFit="1" customWidth="1"/>
    <col min="2315" max="2560" width="9.140625" style="413"/>
    <col min="2561" max="2561" width="8.28515625" style="413" customWidth="1"/>
    <col min="2562" max="2562" width="12.140625" style="413" customWidth="1"/>
    <col min="2563" max="2563" width="12.5703125" style="413" customWidth="1"/>
    <col min="2564" max="2564" width="9.28515625" style="413" customWidth="1"/>
    <col min="2565" max="2565" width="12.5703125" style="413" customWidth="1"/>
    <col min="2566" max="2566" width="4.140625" style="413" customWidth="1"/>
    <col min="2567" max="2567" width="12.85546875" style="413" customWidth="1"/>
    <col min="2568" max="2568" width="22.5703125" style="413" customWidth="1"/>
    <col min="2569" max="2569" width="13.42578125" style="413" bestFit="1" customWidth="1"/>
    <col min="2570" max="2570" width="82.7109375" style="413" bestFit="1" customWidth="1"/>
    <col min="2571" max="2816" width="9.140625" style="413"/>
    <col min="2817" max="2817" width="8.28515625" style="413" customWidth="1"/>
    <col min="2818" max="2818" width="12.140625" style="413" customWidth="1"/>
    <col min="2819" max="2819" width="12.5703125" style="413" customWidth="1"/>
    <col min="2820" max="2820" width="9.28515625" style="413" customWidth="1"/>
    <col min="2821" max="2821" width="12.5703125" style="413" customWidth="1"/>
    <col min="2822" max="2822" width="4.140625" style="413" customWidth="1"/>
    <col min="2823" max="2823" width="12.85546875" style="413" customWidth="1"/>
    <col min="2824" max="2824" width="22.5703125" style="413" customWidth="1"/>
    <col min="2825" max="2825" width="13.42578125" style="413" bestFit="1" customWidth="1"/>
    <col min="2826" max="2826" width="82.7109375" style="413" bestFit="1" customWidth="1"/>
    <col min="2827" max="3072" width="9.140625" style="413"/>
    <col min="3073" max="3073" width="8.28515625" style="413" customWidth="1"/>
    <col min="3074" max="3074" width="12.140625" style="413" customWidth="1"/>
    <col min="3075" max="3075" width="12.5703125" style="413" customWidth="1"/>
    <col min="3076" max="3076" width="9.28515625" style="413" customWidth="1"/>
    <col min="3077" max="3077" width="12.5703125" style="413" customWidth="1"/>
    <col min="3078" max="3078" width="4.140625" style="413" customWidth="1"/>
    <col min="3079" max="3079" width="12.85546875" style="413" customWidth="1"/>
    <col min="3080" max="3080" width="22.5703125" style="413" customWidth="1"/>
    <col min="3081" max="3081" width="13.42578125" style="413" bestFit="1" customWidth="1"/>
    <col min="3082" max="3082" width="82.7109375" style="413" bestFit="1" customWidth="1"/>
    <col min="3083" max="3328" width="9.140625" style="413"/>
    <col min="3329" max="3329" width="8.28515625" style="413" customWidth="1"/>
    <col min="3330" max="3330" width="12.140625" style="413" customWidth="1"/>
    <col min="3331" max="3331" width="12.5703125" style="413" customWidth="1"/>
    <col min="3332" max="3332" width="9.28515625" style="413" customWidth="1"/>
    <col min="3333" max="3333" width="12.5703125" style="413" customWidth="1"/>
    <col min="3334" max="3334" width="4.140625" style="413" customWidth="1"/>
    <col min="3335" max="3335" width="12.85546875" style="413" customWidth="1"/>
    <col min="3336" max="3336" width="22.5703125" style="413" customWidth="1"/>
    <col min="3337" max="3337" width="13.42578125" style="413" bestFit="1" customWidth="1"/>
    <col min="3338" max="3338" width="82.7109375" style="413" bestFit="1" customWidth="1"/>
    <col min="3339" max="3584" width="9.140625" style="413"/>
    <col min="3585" max="3585" width="8.28515625" style="413" customWidth="1"/>
    <col min="3586" max="3586" width="12.140625" style="413" customWidth="1"/>
    <col min="3587" max="3587" width="12.5703125" style="413" customWidth="1"/>
    <col min="3588" max="3588" width="9.28515625" style="413" customWidth="1"/>
    <col min="3589" max="3589" width="12.5703125" style="413" customWidth="1"/>
    <col min="3590" max="3590" width="4.140625" style="413" customWidth="1"/>
    <col min="3591" max="3591" width="12.85546875" style="413" customWidth="1"/>
    <col min="3592" max="3592" width="22.5703125" style="413" customWidth="1"/>
    <col min="3593" max="3593" width="13.42578125" style="413" bestFit="1" customWidth="1"/>
    <col min="3594" max="3594" width="82.7109375" style="413" bestFit="1" customWidth="1"/>
    <col min="3595" max="3840" width="9.140625" style="413"/>
    <col min="3841" max="3841" width="8.28515625" style="413" customWidth="1"/>
    <col min="3842" max="3842" width="12.140625" style="413" customWidth="1"/>
    <col min="3843" max="3843" width="12.5703125" style="413" customWidth="1"/>
    <col min="3844" max="3844" width="9.28515625" style="413" customWidth="1"/>
    <col min="3845" max="3845" width="12.5703125" style="413" customWidth="1"/>
    <col min="3846" max="3846" width="4.140625" style="413" customWidth="1"/>
    <col min="3847" max="3847" width="12.85546875" style="413" customWidth="1"/>
    <col min="3848" max="3848" width="22.5703125" style="413" customWidth="1"/>
    <col min="3849" max="3849" width="13.42578125" style="413" bestFit="1" customWidth="1"/>
    <col min="3850" max="3850" width="82.7109375" style="413" bestFit="1" customWidth="1"/>
    <col min="3851" max="4096" width="9.140625" style="413"/>
    <col min="4097" max="4097" width="8.28515625" style="413" customWidth="1"/>
    <col min="4098" max="4098" width="12.140625" style="413" customWidth="1"/>
    <col min="4099" max="4099" width="12.5703125" style="413" customWidth="1"/>
    <col min="4100" max="4100" width="9.28515625" style="413" customWidth="1"/>
    <col min="4101" max="4101" width="12.5703125" style="413" customWidth="1"/>
    <col min="4102" max="4102" width="4.140625" style="413" customWidth="1"/>
    <col min="4103" max="4103" width="12.85546875" style="413" customWidth="1"/>
    <col min="4104" max="4104" width="22.5703125" style="413" customWidth="1"/>
    <col min="4105" max="4105" width="13.42578125" style="413" bestFit="1" customWidth="1"/>
    <col min="4106" max="4106" width="82.7109375" style="413" bestFit="1" customWidth="1"/>
    <col min="4107" max="4352" width="9.140625" style="413"/>
    <col min="4353" max="4353" width="8.28515625" style="413" customWidth="1"/>
    <col min="4354" max="4354" width="12.140625" style="413" customWidth="1"/>
    <col min="4355" max="4355" width="12.5703125" style="413" customWidth="1"/>
    <col min="4356" max="4356" width="9.28515625" style="413" customWidth="1"/>
    <col min="4357" max="4357" width="12.5703125" style="413" customWidth="1"/>
    <col min="4358" max="4358" width="4.140625" style="413" customWidth="1"/>
    <col min="4359" max="4359" width="12.85546875" style="413" customWidth="1"/>
    <col min="4360" max="4360" width="22.5703125" style="413" customWidth="1"/>
    <col min="4361" max="4361" width="13.42578125" style="413" bestFit="1" customWidth="1"/>
    <col min="4362" max="4362" width="82.7109375" style="413" bestFit="1" customWidth="1"/>
    <col min="4363" max="4608" width="9.140625" style="413"/>
    <col min="4609" max="4609" width="8.28515625" style="413" customWidth="1"/>
    <col min="4610" max="4610" width="12.140625" style="413" customWidth="1"/>
    <col min="4611" max="4611" width="12.5703125" style="413" customWidth="1"/>
    <col min="4612" max="4612" width="9.28515625" style="413" customWidth="1"/>
    <col min="4613" max="4613" width="12.5703125" style="413" customWidth="1"/>
    <col min="4614" max="4614" width="4.140625" style="413" customWidth="1"/>
    <col min="4615" max="4615" width="12.85546875" style="413" customWidth="1"/>
    <col min="4616" max="4616" width="22.5703125" style="413" customWidth="1"/>
    <col min="4617" max="4617" width="13.42578125" style="413" bestFit="1" customWidth="1"/>
    <col min="4618" max="4618" width="82.7109375" style="413" bestFit="1" customWidth="1"/>
    <col min="4619" max="4864" width="9.140625" style="413"/>
    <col min="4865" max="4865" width="8.28515625" style="413" customWidth="1"/>
    <col min="4866" max="4866" width="12.140625" style="413" customWidth="1"/>
    <col min="4867" max="4867" width="12.5703125" style="413" customWidth="1"/>
    <col min="4868" max="4868" width="9.28515625" style="413" customWidth="1"/>
    <col min="4869" max="4869" width="12.5703125" style="413" customWidth="1"/>
    <col min="4870" max="4870" width="4.140625" style="413" customWidth="1"/>
    <col min="4871" max="4871" width="12.85546875" style="413" customWidth="1"/>
    <col min="4872" max="4872" width="22.5703125" style="413" customWidth="1"/>
    <col min="4873" max="4873" width="13.42578125" style="413" bestFit="1" customWidth="1"/>
    <col min="4874" max="4874" width="82.7109375" style="413" bestFit="1" customWidth="1"/>
    <col min="4875" max="5120" width="9.140625" style="413"/>
    <col min="5121" max="5121" width="8.28515625" style="413" customWidth="1"/>
    <col min="5122" max="5122" width="12.140625" style="413" customWidth="1"/>
    <col min="5123" max="5123" width="12.5703125" style="413" customWidth="1"/>
    <col min="5124" max="5124" width="9.28515625" style="413" customWidth="1"/>
    <col min="5125" max="5125" width="12.5703125" style="413" customWidth="1"/>
    <col min="5126" max="5126" width="4.140625" style="413" customWidth="1"/>
    <col min="5127" max="5127" width="12.85546875" style="413" customWidth="1"/>
    <col min="5128" max="5128" width="22.5703125" style="413" customWidth="1"/>
    <col min="5129" max="5129" width="13.42578125" style="413" bestFit="1" customWidth="1"/>
    <col min="5130" max="5130" width="82.7109375" style="413" bestFit="1" customWidth="1"/>
    <col min="5131" max="5376" width="9.140625" style="413"/>
    <col min="5377" max="5377" width="8.28515625" style="413" customWidth="1"/>
    <col min="5378" max="5378" width="12.140625" style="413" customWidth="1"/>
    <col min="5379" max="5379" width="12.5703125" style="413" customWidth="1"/>
    <col min="5380" max="5380" width="9.28515625" style="413" customWidth="1"/>
    <col min="5381" max="5381" width="12.5703125" style="413" customWidth="1"/>
    <col min="5382" max="5382" width="4.140625" style="413" customWidth="1"/>
    <col min="5383" max="5383" width="12.85546875" style="413" customWidth="1"/>
    <col min="5384" max="5384" width="22.5703125" style="413" customWidth="1"/>
    <col min="5385" max="5385" width="13.42578125" style="413" bestFit="1" customWidth="1"/>
    <col min="5386" max="5386" width="82.7109375" style="413" bestFit="1" customWidth="1"/>
    <col min="5387" max="5632" width="9.140625" style="413"/>
    <col min="5633" max="5633" width="8.28515625" style="413" customWidth="1"/>
    <col min="5634" max="5634" width="12.140625" style="413" customWidth="1"/>
    <col min="5635" max="5635" width="12.5703125" style="413" customWidth="1"/>
    <col min="5636" max="5636" width="9.28515625" style="413" customWidth="1"/>
    <col min="5637" max="5637" width="12.5703125" style="413" customWidth="1"/>
    <col min="5638" max="5638" width="4.140625" style="413" customWidth="1"/>
    <col min="5639" max="5639" width="12.85546875" style="413" customWidth="1"/>
    <col min="5640" max="5640" width="22.5703125" style="413" customWidth="1"/>
    <col min="5641" max="5641" width="13.42578125" style="413" bestFit="1" customWidth="1"/>
    <col min="5642" max="5642" width="82.7109375" style="413" bestFit="1" customWidth="1"/>
    <col min="5643" max="5888" width="9.140625" style="413"/>
    <col min="5889" max="5889" width="8.28515625" style="413" customWidth="1"/>
    <col min="5890" max="5890" width="12.140625" style="413" customWidth="1"/>
    <col min="5891" max="5891" width="12.5703125" style="413" customWidth="1"/>
    <col min="5892" max="5892" width="9.28515625" style="413" customWidth="1"/>
    <col min="5893" max="5893" width="12.5703125" style="413" customWidth="1"/>
    <col min="5894" max="5894" width="4.140625" style="413" customWidth="1"/>
    <col min="5895" max="5895" width="12.85546875" style="413" customWidth="1"/>
    <col min="5896" max="5896" width="22.5703125" style="413" customWidth="1"/>
    <col min="5897" max="5897" width="13.42578125" style="413" bestFit="1" customWidth="1"/>
    <col min="5898" max="5898" width="82.7109375" style="413" bestFit="1" customWidth="1"/>
    <col min="5899" max="6144" width="9.140625" style="413"/>
    <col min="6145" max="6145" width="8.28515625" style="413" customWidth="1"/>
    <col min="6146" max="6146" width="12.140625" style="413" customWidth="1"/>
    <col min="6147" max="6147" width="12.5703125" style="413" customWidth="1"/>
    <col min="6148" max="6148" width="9.28515625" style="413" customWidth="1"/>
    <col min="6149" max="6149" width="12.5703125" style="413" customWidth="1"/>
    <col min="6150" max="6150" width="4.140625" style="413" customWidth="1"/>
    <col min="6151" max="6151" width="12.85546875" style="413" customWidth="1"/>
    <col min="6152" max="6152" width="22.5703125" style="413" customWidth="1"/>
    <col min="6153" max="6153" width="13.42578125" style="413" bestFit="1" customWidth="1"/>
    <col min="6154" max="6154" width="82.7109375" style="413" bestFit="1" customWidth="1"/>
    <col min="6155" max="6400" width="9.140625" style="413"/>
    <col min="6401" max="6401" width="8.28515625" style="413" customWidth="1"/>
    <col min="6402" max="6402" width="12.140625" style="413" customWidth="1"/>
    <col min="6403" max="6403" width="12.5703125" style="413" customWidth="1"/>
    <col min="6404" max="6404" width="9.28515625" style="413" customWidth="1"/>
    <col min="6405" max="6405" width="12.5703125" style="413" customWidth="1"/>
    <col min="6406" max="6406" width="4.140625" style="413" customWidth="1"/>
    <col min="6407" max="6407" width="12.85546875" style="413" customWidth="1"/>
    <col min="6408" max="6408" width="22.5703125" style="413" customWidth="1"/>
    <col min="6409" max="6409" width="13.42578125" style="413" bestFit="1" customWidth="1"/>
    <col min="6410" max="6410" width="82.7109375" style="413" bestFit="1" customWidth="1"/>
    <col min="6411" max="6656" width="9.140625" style="413"/>
    <col min="6657" max="6657" width="8.28515625" style="413" customWidth="1"/>
    <col min="6658" max="6658" width="12.140625" style="413" customWidth="1"/>
    <col min="6659" max="6659" width="12.5703125" style="413" customWidth="1"/>
    <col min="6660" max="6660" width="9.28515625" style="413" customWidth="1"/>
    <col min="6661" max="6661" width="12.5703125" style="413" customWidth="1"/>
    <col min="6662" max="6662" width="4.140625" style="413" customWidth="1"/>
    <col min="6663" max="6663" width="12.85546875" style="413" customWidth="1"/>
    <col min="6664" max="6664" width="22.5703125" style="413" customWidth="1"/>
    <col min="6665" max="6665" width="13.42578125" style="413" bestFit="1" customWidth="1"/>
    <col min="6666" max="6666" width="82.7109375" style="413" bestFit="1" customWidth="1"/>
    <col min="6667" max="6912" width="9.140625" style="413"/>
    <col min="6913" max="6913" width="8.28515625" style="413" customWidth="1"/>
    <col min="6914" max="6914" width="12.140625" style="413" customWidth="1"/>
    <col min="6915" max="6915" width="12.5703125" style="413" customWidth="1"/>
    <col min="6916" max="6916" width="9.28515625" style="413" customWidth="1"/>
    <col min="6917" max="6917" width="12.5703125" style="413" customWidth="1"/>
    <col min="6918" max="6918" width="4.140625" style="413" customWidth="1"/>
    <col min="6919" max="6919" width="12.85546875" style="413" customWidth="1"/>
    <col min="6920" max="6920" width="22.5703125" style="413" customWidth="1"/>
    <col min="6921" max="6921" width="13.42578125" style="413" bestFit="1" customWidth="1"/>
    <col min="6922" max="6922" width="82.7109375" style="413" bestFit="1" customWidth="1"/>
    <col min="6923" max="7168" width="9.140625" style="413"/>
    <col min="7169" max="7169" width="8.28515625" style="413" customWidth="1"/>
    <col min="7170" max="7170" width="12.140625" style="413" customWidth="1"/>
    <col min="7171" max="7171" width="12.5703125" style="413" customWidth="1"/>
    <col min="7172" max="7172" width="9.28515625" style="413" customWidth="1"/>
    <col min="7173" max="7173" width="12.5703125" style="413" customWidth="1"/>
    <col min="7174" max="7174" width="4.140625" style="413" customWidth="1"/>
    <col min="7175" max="7175" width="12.85546875" style="413" customWidth="1"/>
    <col min="7176" max="7176" width="22.5703125" style="413" customWidth="1"/>
    <col min="7177" max="7177" width="13.42578125" style="413" bestFit="1" customWidth="1"/>
    <col min="7178" max="7178" width="82.7109375" style="413" bestFit="1" customWidth="1"/>
    <col min="7179" max="7424" width="9.140625" style="413"/>
    <col min="7425" max="7425" width="8.28515625" style="413" customWidth="1"/>
    <col min="7426" max="7426" width="12.140625" style="413" customWidth="1"/>
    <col min="7427" max="7427" width="12.5703125" style="413" customWidth="1"/>
    <col min="7428" max="7428" width="9.28515625" style="413" customWidth="1"/>
    <col min="7429" max="7429" width="12.5703125" style="413" customWidth="1"/>
    <col min="7430" max="7430" width="4.140625" style="413" customWidth="1"/>
    <col min="7431" max="7431" width="12.85546875" style="413" customWidth="1"/>
    <col min="7432" max="7432" width="22.5703125" style="413" customWidth="1"/>
    <col min="7433" max="7433" width="13.42578125" style="413" bestFit="1" customWidth="1"/>
    <col min="7434" max="7434" width="82.7109375" style="413" bestFit="1" customWidth="1"/>
    <col min="7435" max="7680" width="9.140625" style="413"/>
    <col min="7681" max="7681" width="8.28515625" style="413" customWidth="1"/>
    <col min="7682" max="7682" width="12.140625" style="413" customWidth="1"/>
    <col min="7683" max="7683" width="12.5703125" style="413" customWidth="1"/>
    <col min="7684" max="7684" width="9.28515625" style="413" customWidth="1"/>
    <col min="7685" max="7685" width="12.5703125" style="413" customWidth="1"/>
    <col min="7686" max="7686" width="4.140625" style="413" customWidth="1"/>
    <col min="7687" max="7687" width="12.85546875" style="413" customWidth="1"/>
    <col min="7688" max="7688" width="22.5703125" style="413" customWidth="1"/>
    <col min="7689" max="7689" width="13.42578125" style="413" bestFit="1" customWidth="1"/>
    <col min="7690" max="7690" width="82.7109375" style="413" bestFit="1" customWidth="1"/>
    <col min="7691" max="7936" width="9.140625" style="413"/>
    <col min="7937" max="7937" width="8.28515625" style="413" customWidth="1"/>
    <col min="7938" max="7938" width="12.140625" style="413" customWidth="1"/>
    <col min="7939" max="7939" width="12.5703125" style="413" customWidth="1"/>
    <col min="7940" max="7940" width="9.28515625" style="413" customWidth="1"/>
    <col min="7941" max="7941" width="12.5703125" style="413" customWidth="1"/>
    <col min="7942" max="7942" width="4.140625" style="413" customWidth="1"/>
    <col min="7943" max="7943" width="12.85546875" style="413" customWidth="1"/>
    <col min="7944" max="7944" width="22.5703125" style="413" customWidth="1"/>
    <col min="7945" max="7945" width="13.42578125" style="413" bestFit="1" customWidth="1"/>
    <col min="7946" max="7946" width="82.7109375" style="413" bestFit="1" customWidth="1"/>
    <col min="7947" max="8192" width="9.140625" style="413"/>
    <col min="8193" max="8193" width="8.28515625" style="413" customWidth="1"/>
    <col min="8194" max="8194" width="12.140625" style="413" customWidth="1"/>
    <col min="8195" max="8195" width="12.5703125" style="413" customWidth="1"/>
    <col min="8196" max="8196" width="9.28515625" style="413" customWidth="1"/>
    <col min="8197" max="8197" width="12.5703125" style="413" customWidth="1"/>
    <col min="8198" max="8198" width="4.140625" style="413" customWidth="1"/>
    <col min="8199" max="8199" width="12.85546875" style="413" customWidth="1"/>
    <col min="8200" max="8200" width="22.5703125" style="413" customWidth="1"/>
    <col min="8201" max="8201" width="13.42578125" style="413" bestFit="1" customWidth="1"/>
    <col min="8202" max="8202" width="82.7109375" style="413" bestFit="1" customWidth="1"/>
    <col min="8203" max="8448" width="9.140625" style="413"/>
    <col min="8449" max="8449" width="8.28515625" style="413" customWidth="1"/>
    <col min="8450" max="8450" width="12.140625" style="413" customWidth="1"/>
    <col min="8451" max="8451" width="12.5703125" style="413" customWidth="1"/>
    <col min="8452" max="8452" width="9.28515625" style="413" customWidth="1"/>
    <col min="8453" max="8453" width="12.5703125" style="413" customWidth="1"/>
    <col min="8454" max="8454" width="4.140625" style="413" customWidth="1"/>
    <col min="8455" max="8455" width="12.85546875" style="413" customWidth="1"/>
    <col min="8456" max="8456" width="22.5703125" style="413" customWidth="1"/>
    <col min="8457" max="8457" width="13.42578125" style="413" bestFit="1" customWidth="1"/>
    <col min="8458" max="8458" width="82.7109375" style="413" bestFit="1" customWidth="1"/>
    <col min="8459" max="8704" width="9.140625" style="413"/>
    <col min="8705" max="8705" width="8.28515625" style="413" customWidth="1"/>
    <col min="8706" max="8706" width="12.140625" style="413" customWidth="1"/>
    <col min="8707" max="8707" width="12.5703125" style="413" customWidth="1"/>
    <col min="8708" max="8708" width="9.28515625" style="413" customWidth="1"/>
    <col min="8709" max="8709" width="12.5703125" style="413" customWidth="1"/>
    <col min="8710" max="8710" width="4.140625" style="413" customWidth="1"/>
    <col min="8711" max="8711" width="12.85546875" style="413" customWidth="1"/>
    <col min="8712" max="8712" width="22.5703125" style="413" customWidth="1"/>
    <col min="8713" max="8713" width="13.42578125" style="413" bestFit="1" customWidth="1"/>
    <col min="8714" max="8714" width="82.7109375" style="413" bestFit="1" customWidth="1"/>
    <col min="8715" max="8960" width="9.140625" style="413"/>
    <col min="8961" max="8961" width="8.28515625" style="413" customWidth="1"/>
    <col min="8962" max="8962" width="12.140625" style="413" customWidth="1"/>
    <col min="8963" max="8963" width="12.5703125" style="413" customWidth="1"/>
    <col min="8964" max="8964" width="9.28515625" style="413" customWidth="1"/>
    <col min="8965" max="8965" width="12.5703125" style="413" customWidth="1"/>
    <col min="8966" max="8966" width="4.140625" style="413" customWidth="1"/>
    <col min="8967" max="8967" width="12.85546875" style="413" customWidth="1"/>
    <col min="8968" max="8968" width="22.5703125" style="413" customWidth="1"/>
    <col min="8969" max="8969" width="13.42578125" style="413" bestFit="1" customWidth="1"/>
    <col min="8970" max="8970" width="82.7109375" style="413" bestFit="1" customWidth="1"/>
    <col min="8971" max="9216" width="9.140625" style="413"/>
    <col min="9217" max="9217" width="8.28515625" style="413" customWidth="1"/>
    <col min="9218" max="9218" width="12.140625" style="413" customWidth="1"/>
    <col min="9219" max="9219" width="12.5703125" style="413" customWidth="1"/>
    <col min="9220" max="9220" width="9.28515625" style="413" customWidth="1"/>
    <col min="9221" max="9221" width="12.5703125" style="413" customWidth="1"/>
    <col min="9222" max="9222" width="4.140625" style="413" customWidth="1"/>
    <col min="9223" max="9223" width="12.85546875" style="413" customWidth="1"/>
    <col min="9224" max="9224" width="22.5703125" style="413" customWidth="1"/>
    <col min="9225" max="9225" width="13.42578125" style="413" bestFit="1" customWidth="1"/>
    <col min="9226" max="9226" width="82.7109375" style="413" bestFit="1" customWidth="1"/>
    <col min="9227" max="9472" width="9.140625" style="413"/>
    <col min="9473" max="9473" width="8.28515625" style="413" customWidth="1"/>
    <col min="9474" max="9474" width="12.140625" style="413" customWidth="1"/>
    <col min="9475" max="9475" width="12.5703125" style="413" customWidth="1"/>
    <col min="9476" max="9476" width="9.28515625" style="413" customWidth="1"/>
    <col min="9477" max="9477" width="12.5703125" style="413" customWidth="1"/>
    <col min="9478" max="9478" width="4.140625" style="413" customWidth="1"/>
    <col min="9479" max="9479" width="12.85546875" style="413" customWidth="1"/>
    <col min="9480" max="9480" width="22.5703125" style="413" customWidth="1"/>
    <col min="9481" max="9481" width="13.42578125" style="413" bestFit="1" customWidth="1"/>
    <col min="9482" max="9482" width="82.7109375" style="413" bestFit="1" customWidth="1"/>
    <col min="9483" max="9728" width="9.140625" style="413"/>
    <col min="9729" max="9729" width="8.28515625" style="413" customWidth="1"/>
    <col min="9730" max="9730" width="12.140625" style="413" customWidth="1"/>
    <col min="9731" max="9731" width="12.5703125" style="413" customWidth="1"/>
    <col min="9732" max="9732" width="9.28515625" style="413" customWidth="1"/>
    <col min="9733" max="9733" width="12.5703125" style="413" customWidth="1"/>
    <col min="9734" max="9734" width="4.140625" style="413" customWidth="1"/>
    <col min="9735" max="9735" width="12.85546875" style="413" customWidth="1"/>
    <col min="9736" max="9736" width="22.5703125" style="413" customWidth="1"/>
    <col min="9737" max="9737" width="13.42578125" style="413" bestFit="1" customWidth="1"/>
    <col min="9738" max="9738" width="82.7109375" style="413" bestFit="1" customWidth="1"/>
    <col min="9739" max="9984" width="9.140625" style="413"/>
    <col min="9985" max="9985" width="8.28515625" style="413" customWidth="1"/>
    <col min="9986" max="9986" width="12.140625" style="413" customWidth="1"/>
    <col min="9987" max="9987" width="12.5703125" style="413" customWidth="1"/>
    <col min="9988" max="9988" width="9.28515625" style="413" customWidth="1"/>
    <col min="9989" max="9989" width="12.5703125" style="413" customWidth="1"/>
    <col min="9990" max="9990" width="4.140625" style="413" customWidth="1"/>
    <col min="9991" max="9991" width="12.85546875" style="413" customWidth="1"/>
    <col min="9992" max="9992" width="22.5703125" style="413" customWidth="1"/>
    <col min="9993" max="9993" width="13.42578125" style="413" bestFit="1" customWidth="1"/>
    <col min="9994" max="9994" width="82.7109375" style="413" bestFit="1" customWidth="1"/>
    <col min="9995" max="10240" width="9.140625" style="413"/>
    <col min="10241" max="10241" width="8.28515625" style="413" customWidth="1"/>
    <col min="10242" max="10242" width="12.140625" style="413" customWidth="1"/>
    <col min="10243" max="10243" width="12.5703125" style="413" customWidth="1"/>
    <col min="10244" max="10244" width="9.28515625" style="413" customWidth="1"/>
    <col min="10245" max="10245" width="12.5703125" style="413" customWidth="1"/>
    <col min="10246" max="10246" width="4.140625" style="413" customWidth="1"/>
    <col min="10247" max="10247" width="12.85546875" style="413" customWidth="1"/>
    <col min="10248" max="10248" width="22.5703125" style="413" customWidth="1"/>
    <col min="10249" max="10249" width="13.42578125" style="413" bestFit="1" customWidth="1"/>
    <col min="10250" max="10250" width="82.7109375" style="413" bestFit="1" customWidth="1"/>
    <col min="10251" max="10496" width="9.140625" style="413"/>
    <col min="10497" max="10497" width="8.28515625" style="413" customWidth="1"/>
    <col min="10498" max="10498" width="12.140625" style="413" customWidth="1"/>
    <col min="10499" max="10499" width="12.5703125" style="413" customWidth="1"/>
    <col min="10500" max="10500" width="9.28515625" style="413" customWidth="1"/>
    <col min="10501" max="10501" width="12.5703125" style="413" customWidth="1"/>
    <col min="10502" max="10502" width="4.140625" style="413" customWidth="1"/>
    <col min="10503" max="10503" width="12.85546875" style="413" customWidth="1"/>
    <col min="10504" max="10504" width="22.5703125" style="413" customWidth="1"/>
    <col min="10505" max="10505" width="13.42578125" style="413" bestFit="1" customWidth="1"/>
    <col min="10506" max="10506" width="82.7109375" style="413" bestFit="1" customWidth="1"/>
    <col min="10507" max="10752" width="9.140625" style="413"/>
    <col min="10753" max="10753" width="8.28515625" style="413" customWidth="1"/>
    <col min="10754" max="10754" width="12.140625" style="413" customWidth="1"/>
    <col min="10755" max="10755" width="12.5703125" style="413" customWidth="1"/>
    <col min="10756" max="10756" width="9.28515625" style="413" customWidth="1"/>
    <col min="10757" max="10757" width="12.5703125" style="413" customWidth="1"/>
    <col min="10758" max="10758" width="4.140625" style="413" customWidth="1"/>
    <col min="10759" max="10759" width="12.85546875" style="413" customWidth="1"/>
    <col min="10760" max="10760" width="22.5703125" style="413" customWidth="1"/>
    <col min="10761" max="10761" width="13.42578125" style="413" bestFit="1" customWidth="1"/>
    <col min="10762" max="10762" width="82.7109375" style="413" bestFit="1" customWidth="1"/>
    <col min="10763" max="11008" width="9.140625" style="413"/>
    <col min="11009" max="11009" width="8.28515625" style="413" customWidth="1"/>
    <col min="11010" max="11010" width="12.140625" style="413" customWidth="1"/>
    <col min="11011" max="11011" width="12.5703125" style="413" customWidth="1"/>
    <col min="11012" max="11012" width="9.28515625" style="413" customWidth="1"/>
    <col min="11013" max="11013" width="12.5703125" style="413" customWidth="1"/>
    <col min="11014" max="11014" width="4.140625" style="413" customWidth="1"/>
    <col min="11015" max="11015" width="12.85546875" style="413" customWidth="1"/>
    <col min="11016" max="11016" width="22.5703125" style="413" customWidth="1"/>
    <col min="11017" max="11017" width="13.42578125" style="413" bestFit="1" customWidth="1"/>
    <col min="11018" max="11018" width="82.7109375" style="413" bestFit="1" customWidth="1"/>
    <col min="11019" max="11264" width="9.140625" style="413"/>
    <col min="11265" max="11265" width="8.28515625" style="413" customWidth="1"/>
    <col min="11266" max="11266" width="12.140625" style="413" customWidth="1"/>
    <col min="11267" max="11267" width="12.5703125" style="413" customWidth="1"/>
    <col min="11268" max="11268" width="9.28515625" style="413" customWidth="1"/>
    <col min="11269" max="11269" width="12.5703125" style="413" customWidth="1"/>
    <col min="11270" max="11270" width="4.140625" style="413" customWidth="1"/>
    <col min="11271" max="11271" width="12.85546875" style="413" customWidth="1"/>
    <col min="11272" max="11272" width="22.5703125" style="413" customWidth="1"/>
    <col min="11273" max="11273" width="13.42578125" style="413" bestFit="1" customWidth="1"/>
    <col min="11274" max="11274" width="82.7109375" style="413" bestFit="1" customWidth="1"/>
    <col min="11275" max="11520" width="9.140625" style="413"/>
    <col min="11521" max="11521" width="8.28515625" style="413" customWidth="1"/>
    <col min="11522" max="11522" width="12.140625" style="413" customWidth="1"/>
    <col min="11523" max="11523" width="12.5703125" style="413" customWidth="1"/>
    <col min="11524" max="11524" width="9.28515625" style="413" customWidth="1"/>
    <col min="11525" max="11525" width="12.5703125" style="413" customWidth="1"/>
    <col min="11526" max="11526" width="4.140625" style="413" customWidth="1"/>
    <col min="11527" max="11527" width="12.85546875" style="413" customWidth="1"/>
    <col min="11528" max="11528" width="22.5703125" style="413" customWidth="1"/>
    <col min="11529" max="11529" width="13.42578125" style="413" bestFit="1" customWidth="1"/>
    <col min="11530" max="11530" width="82.7109375" style="413" bestFit="1" customWidth="1"/>
    <col min="11531" max="11776" width="9.140625" style="413"/>
    <col min="11777" max="11777" width="8.28515625" style="413" customWidth="1"/>
    <col min="11778" max="11778" width="12.140625" style="413" customWidth="1"/>
    <col min="11779" max="11779" width="12.5703125" style="413" customWidth="1"/>
    <col min="11780" max="11780" width="9.28515625" style="413" customWidth="1"/>
    <col min="11781" max="11781" width="12.5703125" style="413" customWidth="1"/>
    <col min="11782" max="11782" width="4.140625" style="413" customWidth="1"/>
    <col min="11783" max="11783" width="12.85546875" style="413" customWidth="1"/>
    <col min="11784" max="11784" width="22.5703125" style="413" customWidth="1"/>
    <col min="11785" max="11785" width="13.42578125" style="413" bestFit="1" customWidth="1"/>
    <col min="11786" max="11786" width="82.7109375" style="413" bestFit="1" customWidth="1"/>
    <col min="11787" max="12032" width="9.140625" style="413"/>
    <col min="12033" max="12033" width="8.28515625" style="413" customWidth="1"/>
    <col min="12034" max="12034" width="12.140625" style="413" customWidth="1"/>
    <col min="12035" max="12035" width="12.5703125" style="413" customWidth="1"/>
    <col min="12036" max="12036" width="9.28515625" style="413" customWidth="1"/>
    <col min="12037" max="12037" width="12.5703125" style="413" customWidth="1"/>
    <col min="12038" max="12038" width="4.140625" style="413" customWidth="1"/>
    <col min="12039" max="12039" width="12.85546875" style="413" customWidth="1"/>
    <col min="12040" max="12040" width="22.5703125" style="413" customWidth="1"/>
    <col min="12041" max="12041" width="13.42578125" style="413" bestFit="1" customWidth="1"/>
    <col min="12042" max="12042" width="82.7109375" style="413" bestFit="1" customWidth="1"/>
    <col min="12043" max="12288" width="9.140625" style="413"/>
    <col min="12289" max="12289" width="8.28515625" style="413" customWidth="1"/>
    <col min="12290" max="12290" width="12.140625" style="413" customWidth="1"/>
    <col min="12291" max="12291" width="12.5703125" style="413" customWidth="1"/>
    <col min="12292" max="12292" width="9.28515625" style="413" customWidth="1"/>
    <col min="12293" max="12293" width="12.5703125" style="413" customWidth="1"/>
    <col min="12294" max="12294" width="4.140625" style="413" customWidth="1"/>
    <col min="12295" max="12295" width="12.85546875" style="413" customWidth="1"/>
    <col min="12296" max="12296" width="22.5703125" style="413" customWidth="1"/>
    <col min="12297" max="12297" width="13.42578125" style="413" bestFit="1" customWidth="1"/>
    <col min="12298" max="12298" width="82.7109375" style="413" bestFit="1" customWidth="1"/>
    <col min="12299" max="12544" width="9.140625" style="413"/>
    <col min="12545" max="12545" width="8.28515625" style="413" customWidth="1"/>
    <col min="12546" max="12546" width="12.140625" style="413" customWidth="1"/>
    <col min="12547" max="12547" width="12.5703125" style="413" customWidth="1"/>
    <col min="12548" max="12548" width="9.28515625" style="413" customWidth="1"/>
    <col min="12549" max="12549" width="12.5703125" style="413" customWidth="1"/>
    <col min="12550" max="12550" width="4.140625" style="413" customWidth="1"/>
    <col min="12551" max="12551" width="12.85546875" style="413" customWidth="1"/>
    <col min="12552" max="12552" width="22.5703125" style="413" customWidth="1"/>
    <col min="12553" max="12553" width="13.42578125" style="413" bestFit="1" customWidth="1"/>
    <col min="12554" max="12554" width="82.7109375" style="413" bestFit="1" customWidth="1"/>
    <col min="12555" max="12800" width="9.140625" style="413"/>
    <col min="12801" max="12801" width="8.28515625" style="413" customWidth="1"/>
    <col min="12802" max="12802" width="12.140625" style="413" customWidth="1"/>
    <col min="12803" max="12803" width="12.5703125" style="413" customWidth="1"/>
    <col min="12804" max="12804" width="9.28515625" style="413" customWidth="1"/>
    <col min="12805" max="12805" width="12.5703125" style="413" customWidth="1"/>
    <col min="12806" max="12806" width="4.140625" style="413" customWidth="1"/>
    <col min="12807" max="12807" width="12.85546875" style="413" customWidth="1"/>
    <col min="12808" max="12808" width="22.5703125" style="413" customWidth="1"/>
    <col min="12809" max="12809" width="13.42578125" style="413" bestFit="1" customWidth="1"/>
    <col min="12810" max="12810" width="82.7109375" style="413" bestFit="1" customWidth="1"/>
    <col min="12811" max="13056" width="9.140625" style="413"/>
    <col min="13057" max="13057" width="8.28515625" style="413" customWidth="1"/>
    <col min="13058" max="13058" width="12.140625" style="413" customWidth="1"/>
    <col min="13059" max="13059" width="12.5703125" style="413" customWidth="1"/>
    <col min="13060" max="13060" width="9.28515625" style="413" customWidth="1"/>
    <col min="13061" max="13061" width="12.5703125" style="413" customWidth="1"/>
    <col min="13062" max="13062" width="4.140625" style="413" customWidth="1"/>
    <col min="13063" max="13063" width="12.85546875" style="413" customWidth="1"/>
    <col min="13064" max="13064" width="22.5703125" style="413" customWidth="1"/>
    <col min="13065" max="13065" width="13.42578125" style="413" bestFit="1" customWidth="1"/>
    <col min="13066" max="13066" width="82.7109375" style="413" bestFit="1" customWidth="1"/>
    <col min="13067" max="13312" width="9.140625" style="413"/>
    <col min="13313" max="13313" width="8.28515625" style="413" customWidth="1"/>
    <col min="13314" max="13314" width="12.140625" style="413" customWidth="1"/>
    <col min="13315" max="13315" width="12.5703125" style="413" customWidth="1"/>
    <col min="13316" max="13316" width="9.28515625" style="413" customWidth="1"/>
    <col min="13317" max="13317" width="12.5703125" style="413" customWidth="1"/>
    <col min="13318" max="13318" width="4.140625" style="413" customWidth="1"/>
    <col min="13319" max="13319" width="12.85546875" style="413" customWidth="1"/>
    <col min="13320" max="13320" width="22.5703125" style="413" customWidth="1"/>
    <col min="13321" max="13321" width="13.42578125" style="413" bestFit="1" customWidth="1"/>
    <col min="13322" max="13322" width="82.7109375" style="413" bestFit="1" customWidth="1"/>
    <col min="13323" max="13568" width="9.140625" style="413"/>
    <col min="13569" max="13569" width="8.28515625" style="413" customWidth="1"/>
    <col min="13570" max="13570" width="12.140625" style="413" customWidth="1"/>
    <col min="13571" max="13571" width="12.5703125" style="413" customWidth="1"/>
    <col min="13572" max="13572" width="9.28515625" style="413" customWidth="1"/>
    <col min="13573" max="13573" width="12.5703125" style="413" customWidth="1"/>
    <col min="13574" max="13574" width="4.140625" style="413" customWidth="1"/>
    <col min="13575" max="13575" width="12.85546875" style="413" customWidth="1"/>
    <col min="13576" max="13576" width="22.5703125" style="413" customWidth="1"/>
    <col min="13577" max="13577" width="13.42578125" style="413" bestFit="1" customWidth="1"/>
    <col min="13578" max="13578" width="82.7109375" style="413" bestFit="1" customWidth="1"/>
    <col min="13579" max="13824" width="9.140625" style="413"/>
    <col min="13825" max="13825" width="8.28515625" style="413" customWidth="1"/>
    <col min="13826" max="13826" width="12.140625" style="413" customWidth="1"/>
    <col min="13827" max="13827" width="12.5703125" style="413" customWidth="1"/>
    <col min="13828" max="13828" width="9.28515625" style="413" customWidth="1"/>
    <col min="13829" max="13829" width="12.5703125" style="413" customWidth="1"/>
    <col min="13830" max="13830" width="4.140625" style="413" customWidth="1"/>
    <col min="13831" max="13831" width="12.85546875" style="413" customWidth="1"/>
    <col min="13832" max="13832" width="22.5703125" style="413" customWidth="1"/>
    <col min="13833" max="13833" width="13.42578125" style="413" bestFit="1" customWidth="1"/>
    <col min="13834" max="13834" width="82.7109375" style="413" bestFit="1" customWidth="1"/>
    <col min="13835" max="14080" width="9.140625" style="413"/>
    <col min="14081" max="14081" width="8.28515625" style="413" customWidth="1"/>
    <col min="14082" max="14082" width="12.140625" style="413" customWidth="1"/>
    <col min="14083" max="14083" width="12.5703125" style="413" customWidth="1"/>
    <col min="14084" max="14084" width="9.28515625" style="413" customWidth="1"/>
    <col min="14085" max="14085" width="12.5703125" style="413" customWidth="1"/>
    <col min="14086" max="14086" width="4.140625" style="413" customWidth="1"/>
    <col min="14087" max="14087" width="12.85546875" style="413" customWidth="1"/>
    <col min="14088" max="14088" width="22.5703125" style="413" customWidth="1"/>
    <col min="14089" max="14089" width="13.42578125" style="413" bestFit="1" customWidth="1"/>
    <col min="14090" max="14090" width="82.7109375" style="413" bestFit="1" customWidth="1"/>
    <col min="14091" max="14336" width="9.140625" style="413"/>
    <col min="14337" max="14337" width="8.28515625" style="413" customWidth="1"/>
    <col min="14338" max="14338" width="12.140625" style="413" customWidth="1"/>
    <col min="14339" max="14339" width="12.5703125" style="413" customWidth="1"/>
    <col min="14340" max="14340" width="9.28515625" style="413" customWidth="1"/>
    <col min="14341" max="14341" width="12.5703125" style="413" customWidth="1"/>
    <col min="14342" max="14342" width="4.140625" style="413" customWidth="1"/>
    <col min="14343" max="14343" width="12.85546875" style="413" customWidth="1"/>
    <col min="14344" max="14344" width="22.5703125" style="413" customWidth="1"/>
    <col min="14345" max="14345" width="13.42578125" style="413" bestFit="1" customWidth="1"/>
    <col min="14346" max="14346" width="82.7109375" style="413" bestFit="1" customWidth="1"/>
    <col min="14347" max="14592" width="9.140625" style="413"/>
    <col min="14593" max="14593" width="8.28515625" style="413" customWidth="1"/>
    <col min="14594" max="14594" width="12.140625" style="413" customWidth="1"/>
    <col min="14595" max="14595" width="12.5703125" style="413" customWidth="1"/>
    <col min="14596" max="14596" width="9.28515625" style="413" customWidth="1"/>
    <col min="14597" max="14597" width="12.5703125" style="413" customWidth="1"/>
    <col min="14598" max="14598" width="4.140625" style="413" customWidth="1"/>
    <col min="14599" max="14599" width="12.85546875" style="413" customWidth="1"/>
    <col min="14600" max="14600" width="22.5703125" style="413" customWidth="1"/>
    <col min="14601" max="14601" width="13.42578125" style="413" bestFit="1" customWidth="1"/>
    <col min="14602" max="14602" width="82.7109375" style="413" bestFit="1" customWidth="1"/>
    <col min="14603" max="14848" width="9.140625" style="413"/>
    <col min="14849" max="14849" width="8.28515625" style="413" customWidth="1"/>
    <col min="14850" max="14850" width="12.140625" style="413" customWidth="1"/>
    <col min="14851" max="14851" width="12.5703125" style="413" customWidth="1"/>
    <col min="14852" max="14852" width="9.28515625" style="413" customWidth="1"/>
    <col min="14853" max="14853" width="12.5703125" style="413" customWidth="1"/>
    <col min="14854" max="14854" width="4.140625" style="413" customWidth="1"/>
    <col min="14855" max="14855" width="12.85546875" style="413" customWidth="1"/>
    <col min="14856" max="14856" width="22.5703125" style="413" customWidth="1"/>
    <col min="14857" max="14857" width="13.42578125" style="413" bestFit="1" customWidth="1"/>
    <col min="14858" max="14858" width="82.7109375" style="413" bestFit="1" customWidth="1"/>
    <col min="14859" max="15104" width="9.140625" style="413"/>
    <col min="15105" max="15105" width="8.28515625" style="413" customWidth="1"/>
    <col min="15106" max="15106" width="12.140625" style="413" customWidth="1"/>
    <col min="15107" max="15107" width="12.5703125" style="413" customWidth="1"/>
    <col min="15108" max="15108" width="9.28515625" style="413" customWidth="1"/>
    <col min="15109" max="15109" width="12.5703125" style="413" customWidth="1"/>
    <col min="15110" max="15110" width="4.140625" style="413" customWidth="1"/>
    <col min="15111" max="15111" width="12.85546875" style="413" customWidth="1"/>
    <col min="15112" max="15112" width="22.5703125" style="413" customWidth="1"/>
    <col min="15113" max="15113" width="13.42578125" style="413" bestFit="1" customWidth="1"/>
    <col min="15114" max="15114" width="82.7109375" style="413" bestFit="1" customWidth="1"/>
    <col min="15115" max="15360" width="9.140625" style="413"/>
    <col min="15361" max="15361" width="8.28515625" style="413" customWidth="1"/>
    <col min="15362" max="15362" width="12.140625" style="413" customWidth="1"/>
    <col min="15363" max="15363" width="12.5703125" style="413" customWidth="1"/>
    <col min="15364" max="15364" width="9.28515625" style="413" customWidth="1"/>
    <col min="15365" max="15365" width="12.5703125" style="413" customWidth="1"/>
    <col min="15366" max="15366" width="4.140625" style="413" customWidth="1"/>
    <col min="15367" max="15367" width="12.85546875" style="413" customWidth="1"/>
    <col min="15368" max="15368" width="22.5703125" style="413" customWidth="1"/>
    <col min="15369" max="15369" width="13.42578125" style="413" bestFit="1" customWidth="1"/>
    <col min="15370" max="15370" width="82.7109375" style="413" bestFit="1" customWidth="1"/>
    <col min="15371" max="15616" width="9.140625" style="413"/>
    <col min="15617" max="15617" width="8.28515625" style="413" customWidth="1"/>
    <col min="15618" max="15618" width="12.140625" style="413" customWidth="1"/>
    <col min="15619" max="15619" width="12.5703125" style="413" customWidth="1"/>
    <col min="15620" max="15620" width="9.28515625" style="413" customWidth="1"/>
    <col min="15621" max="15621" width="12.5703125" style="413" customWidth="1"/>
    <col min="15622" max="15622" width="4.140625" style="413" customWidth="1"/>
    <col min="15623" max="15623" width="12.85546875" style="413" customWidth="1"/>
    <col min="15624" max="15624" width="22.5703125" style="413" customWidth="1"/>
    <col min="15625" max="15625" width="13.42578125" style="413" bestFit="1" customWidth="1"/>
    <col min="15626" max="15626" width="82.7109375" style="413" bestFit="1" customWidth="1"/>
    <col min="15627" max="15872" width="9.140625" style="413"/>
    <col min="15873" max="15873" width="8.28515625" style="413" customWidth="1"/>
    <col min="15874" max="15874" width="12.140625" style="413" customWidth="1"/>
    <col min="15875" max="15875" width="12.5703125" style="413" customWidth="1"/>
    <col min="15876" max="15876" width="9.28515625" style="413" customWidth="1"/>
    <col min="15877" max="15877" width="12.5703125" style="413" customWidth="1"/>
    <col min="15878" max="15878" width="4.140625" style="413" customWidth="1"/>
    <col min="15879" max="15879" width="12.85546875" style="413" customWidth="1"/>
    <col min="15880" max="15880" width="22.5703125" style="413" customWidth="1"/>
    <col min="15881" max="15881" width="13.42578125" style="413" bestFit="1" customWidth="1"/>
    <col min="15882" max="15882" width="82.7109375" style="413" bestFit="1" customWidth="1"/>
    <col min="15883" max="16128" width="9.140625" style="413"/>
    <col min="16129" max="16129" width="8.28515625" style="413" customWidth="1"/>
    <col min="16130" max="16130" width="12.140625" style="413" customWidth="1"/>
    <col min="16131" max="16131" width="12.5703125" style="413" customWidth="1"/>
    <col min="16132" max="16132" width="9.28515625" style="413" customWidth="1"/>
    <col min="16133" max="16133" width="12.5703125" style="413" customWidth="1"/>
    <col min="16134" max="16134" width="4.140625" style="413" customWidth="1"/>
    <col min="16135" max="16135" width="12.85546875" style="413" customWidth="1"/>
    <col min="16136" max="16136" width="22.5703125" style="413" customWidth="1"/>
    <col min="16137" max="16137" width="13.42578125" style="413" bestFit="1" customWidth="1"/>
    <col min="16138" max="16138" width="82.7109375" style="413" bestFit="1" customWidth="1"/>
    <col min="16139" max="16384" width="9.140625" style="413"/>
  </cols>
  <sheetData>
    <row r="1" spans="1:9">
      <c r="A1" s="410" t="s">
        <v>1220</v>
      </c>
      <c r="B1" s="410"/>
      <c r="C1" s="411"/>
      <c r="D1" s="411"/>
      <c r="E1" s="411"/>
      <c r="F1" s="411"/>
      <c r="G1" s="411"/>
      <c r="H1" s="411"/>
      <c r="I1" s="412"/>
    </row>
    <row r="2" spans="1:9">
      <c r="A2" s="410" t="s">
        <v>1221</v>
      </c>
      <c r="B2" s="410"/>
      <c r="C2" s="411"/>
      <c r="D2" s="411"/>
      <c r="E2" s="411"/>
      <c r="F2" s="411"/>
      <c r="G2" s="411"/>
      <c r="H2" s="411"/>
      <c r="I2" s="412"/>
    </row>
    <row r="3" spans="1:9">
      <c r="A3" s="410" t="s">
        <v>1222</v>
      </c>
      <c r="B3" s="410"/>
      <c r="C3" s="411"/>
      <c r="D3" s="411"/>
      <c r="E3" s="411"/>
      <c r="F3" s="411"/>
      <c r="G3" s="411"/>
      <c r="H3" s="411"/>
      <c r="I3" s="412"/>
    </row>
    <row r="4" spans="1:9">
      <c r="A4" s="414"/>
      <c r="B4" s="414"/>
      <c r="C4" s="412"/>
      <c r="D4" s="412"/>
      <c r="E4" s="412"/>
      <c r="F4" s="412"/>
      <c r="G4" s="412"/>
      <c r="H4" s="412"/>
      <c r="I4" s="412"/>
    </row>
    <row r="5" spans="1:9">
      <c r="A5" s="415" t="s">
        <v>1223</v>
      </c>
      <c r="B5" s="416" t="s">
        <v>1403</v>
      </c>
      <c r="C5" s="412"/>
      <c r="D5" s="412"/>
      <c r="E5" s="412"/>
      <c r="F5" s="412"/>
      <c r="G5" s="417" t="s">
        <v>1224</v>
      </c>
      <c r="H5" s="417"/>
      <c r="I5" s="418">
        <f>I6+I11+I15</f>
        <v>274.65000000000003</v>
      </c>
    </row>
    <row r="6" spans="1:9">
      <c r="A6" s="412"/>
      <c r="B6" s="412"/>
      <c r="C6" s="412"/>
      <c r="D6" s="412"/>
      <c r="E6" s="412"/>
      <c r="F6" s="412"/>
      <c r="G6" s="419" t="s">
        <v>1225</v>
      </c>
      <c r="H6" s="417"/>
      <c r="I6" s="418">
        <f>ROUND(I9*0.9+I8*0.1,2)+I7</f>
        <v>273.47000000000003</v>
      </c>
    </row>
    <row r="7" spans="1:9">
      <c r="A7" s="414" t="s">
        <v>1226</v>
      </c>
      <c r="B7" s="420" t="s">
        <v>1283</v>
      </c>
      <c r="C7" s="421"/>
      <c r="D7" s="421"/>
      <c r="E7" s="421"/>
      <c r="F7" s="412"/>
      <c r="G7" s="422" t="s">
        <v>1227</v>
      </c>
      <c r="H7" s="417"/>
      <c r="I7" s="423"/>
    </row>
    <row r="8" spans="1:9">
      <c r="A8" s="412"/>
      <c r="B8" s="412"/>
      <c r="C8" s="412"/>
      <c r="D8" s="412"/>
      <c r="E8" s="412"/>
      <c r="F8" s="412"/>
      <c r="G8" s="422" t="s">
        <v>1400</v>
      </c>
      <c r="H8" s="417"/>
      <c r="I8" s="423">
        <v>273.47000000000003</v>
      </c>
    </row>
    <row r="9" spans="1:9">
      <c r="A9" s="412"/>
      <c r="B9" s="412"/>
      <c r="C9" s="412"/>
      <c r="D9" s="412"/>
      <c r="E9" s="412"/>
      <c r="F9" s="412"/>
      <c r="G9" s="422" t="s">
        <v>1479</v>
      </c>
      <c r="H9" s="417"/>
      <c r="I9" s="423">
        <v>273.47000000000003</v>
      </c>
    </row>
    <row r="10" spans="1:9">
      <c r="A10" s="412"/>
      <c r="B10" s="424"/>
      <c r="C10" s="425"/>
      <c r="D10" s="425"/>
      <c r="E10" s="426"/>
      <c r="F10" s="412"/>
      <c r="G10" s="412"/>
      <c r="H10" s="412"/>
      <c r="I10" s="412"/>
    </row>
    <row r="11" spans="1:9">
      <c r="A11" s="412"/>
      <c r="B11" s="427" t="s">
        <v>1228</v>
      </c>
      <c r="C11" s="428"/>
      <c r="D11" s="429">
        <v>8700</v>
      </c>
      <c r="E11" s="430"/>
      <c r="F11" s="412"/>
      <c r="G11" s="417" t="s">
        <v>1229</v>
      </c>
      <c r="H11" s="417"/>
      <c r="I11" s="418">
        <f>ROUND(I13*0.9+I12*0.1,2)</f>
        <v>1.18</v>
      </c>
    </row>
    <row r="12" spans="1:9">
      <c r="A12" s="412"/>
      <c r="B12" s="431"/>
      <c r="C12" s="432"/>
      <c r="D12" s="432"/>
      <c r="E12" s="430"/>
      <c r="F12" s="412"/>
      <c r="G12" s="422" t="s">
        <v>1400</v>
      </c>
      <c r="H12" s="417"/>
      <c r="I12" s="423">
        <v>1.18</v>
      </c>
    </row>
    <row r="13" spans="1:9">
      <c r="A13" s="412"/>
      <c r="B13" s="431"/>
      <c r="C13" s="432"/>
      <c r="D13" s="432"/>
      <c r="E13" s="430"/>
      <c r="F13" s="412"/>
      <c r="G13" s="422" t="s">
        <v>1479</v>
      </c>
      <c r="H13" s="417"/>
      <c r="I13" s="423">
        <v>1.18</v>
      </c>
    </row>
    <row r="14" spans="1:9">
      <c r="A14" s="412"/>
      <c r="B14" s="431"/>
      <c r="C14" s="432"/>
      <c r="D14" s="432"/>
      <c r="E14" s="430"/>
      <c r="F14" s="412"/>
      <c r="G14" s="412"/>
      <c r="H14" s="412"/>
      <c r="I14" s="412"/>
    </row>
    <row r="15" spans="1:9">
      <c r="A15" s="412"/>
      <c r="B15" s="433" t="s">
        <v>1230</v>
      </c>
      <c r="C15" s="428"/>
      <c r="D15" s="429">
        <v>4766.8900000000003</v>
      </c>
      <c r="E15" s="430"/>
      <c r="F15" s="412"/>
      <c r="G15" s="417" t="s">
        <v>1231</v>
      </c>
      <c r="H15" s="417"/>
      <c r="I15" s="418">
        <f>ROUND(I17*0.9+I16*0.1,2)</f>
        <v>0</v>
      </c>
    </row>
    <row r="16" spans="1:9">
      <c r="A16" s="412"/>
      <c r="B16" s="434"/>
      <c r="C16" s="435"/>
      <c r="D16" s="435"/>
      <c r="E16" s="436"/>
      <c r="F16" s="412"/>
      <c r="G16" s="422" t="s">
        <v>1401</v>
      </c>
      <c r="H16" s="412"/>
      <c r="I16" s="423"/>
    </row>
    <row r="17" spans="1:9">
      <c r="A17" s="428"/>
      <c r="B17" s="428"/>
      <c r="C17" s="428"/>
      <c r="D17" s="437"/>
      <c r="E17" s="437"/>
      <c r="F17" s="437"/>
      <c r="G17" s="422" t="s">
        <v>1402</v>
      </c>
      <c r="H17" s="412"/>
      <c r="I17" s="423"/>
    </row>
    <row r="18" spans="1:9">
      <c r="A18" s="412"/>
      <c r="B18" s="412"/>
      <c r="C18" s="438" t="s">
        <v>1232</v>
      </c>
      <c r="D18" s="438" t="s">
        <v>1233</v>
      </c>
      <c r="E18" s="438" t="s">
        <v>1234</v>
      </c>
      <c r="F18" s="428"/>
      <c r="G18" s="412"/>
      <c r="H18" s="412"/>
      <c r="I18" s="412"/>
    </row>
    <row r="19" spans="1:9">
      <c r="A19" s="417" t="s">
        <v>1235</v>
      </c>
      <c r="B19" s="417"/>
      <c r="C19" s="315">
        <v>31365198</v>
      </c>
      <c r="D19" s="439">
        <v>18</v>
      </c>
      <c r="E19" s="440">
        <f>C19*D19*0.001</f>
        <v>564573.56400000001</v>
      </c>
      <c r="F19" s="440"/>
      <c r="G19" s="412"/>
      <c r="H19" s="412"/>
      <c r="I19" s="412"/>
    </row>
    <row r="20" spans="1:9">
      <c r="A20" s="417" t="s">
        <v>1236</v>
      </c>
      <c r="B20" s="417"/>
      <c r="C20" s="315">
        <v>1183100</v>
      </c>
      <c r="D20" s="439">
        <v>6</v>
      </c>
      <c r="E20" s="440">
        <f>C20*D20*0.001</f>
        <v>7098.6</v>
      </c>
      <c r="F20" s="441"/>
      <c r="G20" s="412"/>
      <c r="H20" s="412"/>
      <c r="I20" s="412"/>
    </row>
    <row r="21" spans="1:9">
      <c r="A21" s="417" t="s">
        <v>1237</v>
      </c>
      <c r="B21" s="417"/>
      <c r="C21" s="412"/>
      <c r="D21" s="412"/>
      <c r="E21" s="442">
        <f>SUM(E19:E20)</f>
        <v>571672.16399999999</v>
      </c>
      <c r="F21" s="441"/>
      <c r="G21" s="412"/>
      <c r="H21" s="412"/>
      <c r="I21" s="412"/>
    </row>
    <row r="22" spans="1:9">
      <c r="A22" s="412"/>
      <c r="B22" s="412"/>
      <c r="C22" s="412"/>
      <c r="D22" s="412"/>
      <c r="E22" s="412"/>
      <c r="F22" s="412"/>
      <c r="G22" s="412"/>
      <c r="H22" s="412"/>
      <c r="I22" s="412"/>
    </row>
    <row r="23" spans="1:9">
      <c r="A23" s="417" t="s">
        <v>1238</v>
      </c>
      <c r="B23" s="417"/>
      <c r="C23" s="412"/>
      <c r="D23" s="412"/>
      <c r="E23" s="418">
        <f>IFERROR(ROUND(E21/I6,2),0)</f>
        <v>2090.44</v>
      </c>
      <c r="F23" s="418"/>
      <c r="G23" s="417" t="s">
        <v>1239</v>
      </c>
      <c r="H23" s="412"/>
      <c r="I23" s="423">
        <v>158411</v>
      </c>
    </row>
    <row r="24" spans="1:9">
      <c r="A24" s="417" t="s">
        <v>1240</v>
      </c>
      <c r="B24" s="417"/>
      <c r="C24" s="412"/>
      <c r="D24" s="412"/>
      <c r="E24" s="418">
        <f>ROUND(E21/I5,2)</f>
        <v>2081.46</v>
      </c>
      <c r="F24" s="418"/>
      <c r="G24" s="417" t="s">
        <v>1241</v>
      </c>
      <c r="H24" s="412"/>
      <c r="I24" s="423">
        <v>0</v>
      </c>
    </row>
    <row r="25" spans="1:9">
      <c r="A25" s="412"/>
      <c r="B25" s="412"/>
      <c r="C25" s="412"/>
      <c r="D25" s="412"/>
      <c r="E25" s="412"/>
      <c r="F25" s="412"/>
      <c r="G25" s="412"/>
      <c r="H25" s="412"/>
      <c r="I25" s="412"/>
    </row>
    <row r="26" spans="1:9">
      <c r="A26" s="443" t="s">
        <v>1242</v>
      </c>
      <c r="B26" s="443"/>
      <c r="C26" s="443"/>
      <c r="D26" s="435"/>
      <c r="E26" s="435"/>
      <c r="F26" s="435"/>
      <c r="G26" s="435"/>
      <c r="H26" s="444" t="s">
        <v>1232</v>
      </c>
      <c r="I26" s="412"/>
    </row>
    <row r="27" spans="1:9">
      <c r="A27" s="417"/>
      <c r="B27" s="417"/>
      <c r="C27" s="412"/>
      <c r="D27" s="412"/>
      <c r="E27" s="412"/>
      <c r="F27" s="412"/>
      <c r="G27" s="412"/>
      <c r="H27" s="510"/>
      <c r="I27" s="412"/>
    </row>
    <row r="28" spans="1:9">
      <c r="A28" s="445" t="s">
        <v>1243</v>
      </c>
      <c r="B28" s="445" t="s">
        <v>1244</v>
      </c>
      <c r="C28" s="412"/>
      <c r="D28" s="412"/>
      <c r="E28" s="446"/>
      <c r="F28" s="446" t="s">
        <v>1245</v>
      </c>
      <c r="G28" s="447">
        <f>MAX(0,(MIN(D15,6500)-E24))</f>
        <v>2685.4300000000003</v>
      </c>
      <c r="H28" s="448">
        <f>G28*I5</f>
        <v>737553.34950000013</v>
      </c>
      <c r="I28" s="412"/>
    </row>
    <row r="29" spans="1:9">
      <c r="A29" s="417" t="s">
        <v>1246</v>
      </c>
      <c r="B29" s="417" t="s">
        <v>1247</v>
      </c>
      <c r="C29" s="412"/>
      <c r="D29" s="412"/>
      <c r="E29" s="412"/>
      <c r="F29" s="412"/>
      <c r="G29" s="412"/>
      <c r="H29" s="448">
        <f>IF((H59+H63+H64)&lt;0,(ROUND(I23*0.286138,2)+ROUND(I24*0.704165,2)+H59+H63+H64),(ROUND(I23*0.286138,2)+ROUND(I24*0.704165,2)))</f>
        <v>45327.41</v>
      </c>
      <c r="I29" s="412"/>
    </row>
    <row r="30" spans="1:9">
      <c r="A30" s="417" t="s">
        <v>1248</v>
      </c>
      <c r="B30" s="417" t="s">
        <v>355</v>
      </c>
      <c r="C30" s="412"/>
      <c r="D30" s="412"/>
      <c r="E30" s="412"/>
      <c r="F30" s="412"/>
      <c r="G30" s="412"/>
      <c r="H30" s="448">
        <f>H66-H29-H28</f>
        <v>1069963.0205000001</v>
      </c>
      <c r="I30" s="412"/>
    </row>
    <row r="31" spans="1:9">
      <c r="A31" s="417" t="s">
        <v>1249</v>
      </c>
      <c r="B31" s="417" t="s">
        <v>369</v>
      </c>
      <c r="C31" s="412"/>
      <c r="D31" s="412"/>
      <c r="E31" s="412"/>
      <c r="F31" s="412"/>
      <c r="G31" s="412"/>
      <c r="H31" s="449"/>
      <c r="I31" s="412"/>
    </row>
    <row r="32" spans="1:9">
      <c r="A32" s="417" t="s">
        <v>1250</v>
      </c>
      <c r="B32" s="417" t="s">
        <v>1251</v>
      </c>
      <c r="C32" s="412"/>
      <c r="D32" s="412"/>
      <c r="E32" s="412"/>
      <c r="F32" s="412"/>
      <c r="G32" s="412"/>
      <c r="H32" s="449"/>
      <c r="I32" s="412"/>
    </row>
    <row r="33" spans="1:9">
      <c r="A33" s="417" t="s">
        <v>1252</v>
      </c>
      <c r="B33" s="417" t="s">
        <v>1253</v>
      </c>
      <c r="C33" s="412"/>
      <c r="D33" s="412"/>
      <c r="E33" s="412"/>
      <c r="F33" s="412"/>
      <c r="G33" s="412"/>
      <c r="H33" s="449"/>
      <c r="I33" s="412"/>
    </row>
    <row r="34" spans="1:9">
      <c r="A34" s="445" t="s">
        <v>1254</v>
      </c>
      <c r="B34" s="417" t="s">
        <v>1255</v>
      </c>
      <c r="C34" s="412"/>
      <c r="D34" s="412"/>
      <c r="E34" s="412"/>
      <c r="F34" s="412"/>
      <c r="G34" s="412"/>
      <c r="H34" s="449"/>
      <c r="I34" s="412"/>
    </row>
    <row r="35" spans="1:9">
      <c r="A35" s="445" t="s">
        <v>1256</v>
      </c>
      <c r="B35" s="417" t="s">
        <v>1257</v>
      </c>
      <c r="C35" s="412"/>
      <c r="D35" s="412"/>
      <c r="E35" s="412"/>
      <c r="F35" s="412"/>
      <c r="G35" s="412"/>
      <c r="H35" s="449"/>
      <c r="I35" s="412"/>
    </row>
    <row r="36" spans="1:9">
      <c r="A36" s="417" t="s">
        <v>1258</v>
      </c>
      <c r="B36" s="417" t="s">
        <v>1259</v>
      </c>
      <c r="C36" s="412"/>
      <c r="D36" s="412"/>
      <c r="E36" s="412"/>
      <c r="F36" s="412"/>
      <c r="G36" s="412"/>
      <c r="H36" s="449"/>
      <c r="I36" s="412"/>
    </row>
    <row r="37" spans="1:9">
      <c r="A37" s="445" t="s">
        <v>1260</v>
      </c>
      <c r="B37" s="417" t="s">
        <v>1261</v>
      </c>
      <c r="C37" s="412"/>
      <c r="D37" s="412"/>
      <c r="E37" s="412"/>
      <c r="F37" s="412"/>
      <c r="G37" s="412"/>
      <c r="H37" s="449"/>
      <c r="I37" s="412"/>
    </row>
    <row r="38" spans="1:9">
      <c r="A38" s="450" t="s">
        <v>1262</v>
      </c>
      <c r="B38" s="450"/>
      <c r="C38" s="421"/>
      <c r="D38" s="421"/>
      <c r="E38" s="421"/>
      <c r="F38" s="421"/>
      <c r="G38" s="421"/>
      <c r="H38" s="449"/>
      <c r="I38" s="412"/>
    </row>
    <row r="39" spans="1:9">
      <c r="A39" s="450"/>
      <c r="B39" s="450"/>
      <c r="C39" s="421"/>
      <c r="D39" s="421"/>
      <c r="E39" s="421"/>
      <c r="F39" s="421"/>
      <c r="G39" s="421"/>
      <c r="H39" s="449"/>
      <c r="I39" s="412"/>
    </row>
    <row r="40" spans="1:9">
      <c r="A40" s="450"/>
      <c r="B40" s="450"/>
      <c r="C40" s="421"/>
      <c r="D40" s="421"/>
      <c r="E40" s="421"/>
      <c r="F40" s="421"/>
      <c r="G40" s="421"/>
      <c r="H40" s="449"/>
      <c r="I40" s="412"/>
    </row>
    <row r="41" spans="1:9">
      <c r="A41" s="450"/>
      <c r="B41" s="450"/>
      <c r="C41" s="421"/>
      <c r="D41" s="421"/>
      <c r="E41" s="421"/>
      <c r="F41" s="421"/>
      <c r="G41" s="421"/>
      <c r="H41" s="449"/>
      <c r="I41" s="412"/>
    </row>
    <row r="42" spans="1:9">
      <c r="A42" s="450"/>
      <c r="B42" s="450"/>
      <c r="C42" s="421"/>
      <c r="D42" s="421"/>
      <c r="E42" s="421"/>
      <c r="F42" s="421"/>
      <c r="G42" s="421"/>
      <c r="H42" s="449"/>
      <c r="I42" s="412"/>
    </row>
    <row r="43" spans="1:9">
      <c r="A43" s="450"/>
      <c r="B43" s="450"/>
      <c r="C43" s="421"/>
      <c r="D43" s="421"/>
      <c r="E43" s="421"/>
      <c r="F43" s="421"/>
      <c r="G43" s="421"/>
      <c r="H43" s="449"/>
      <c r="I43" s="412"/>
    </row>
    <row r="44" spans="1:9">
      <c r="A44" s="450"/>
      <c r="B44" s="450"/>
      <c r="C44" s="421"/>
      <c r="D44" s="421"/>
      <c r="E44" s="421"/>
      <c r="F44" s="421"/>
      <c r="G44" s="421"/>
      <c r="H44" s="449"/>
      <c r="I44" s="412"/>
    </row>
    <row r="45" spans="1:9">
      <c r="A45" s="417"/>
      <c r="B45" s="417"/>
      <c r="C45" s="412"/>
      <c r="D45" s="412"/>
      <c r="E45" s="412"/>
      <c r="F45" s="412"/>
      <c r="G45" s="412"/>
      <c r="H45" s="451">
        <f>SUM(H28:H44)</f>
        <v>1852843.7800000003</v>
      </c>
      <c r="I45" s="412"/>
    </row>
    <row r="46" spans="1:9">
      <c r="A46" s="417"/>
      <c r="B46" s="417"/>
      <c r="C46" s="412"/>
      <c r="D46" s="412"/>
      <c r="E46" s="412"/>
      <c r="F46" s="412"/>
      <c r="G46" s="412"/>
      <c r="H46" s="412"/>
      <c r="I46" s="412"/>
    </row>
    <row r="47" spans="1:9">
      <c r="A47" s="443" t="s">
        <v>384</v>
      </c>
      <c r="B47" s="443"/>
      <c r="C47" s="443"/>
      <c r="D47" s="435"/>
      <c r="E47" s="435"/>
      <c r="F47" s="435"/>
      <c r="G47" s="435"/>
      <c r="H47" s="444" t="s">
        <v>1232</v>
      </c>
      <c r="I47" s="412"/>
    </row>
    <row r="48" spans="1:9">
      <c r="A48" s="450" t="s">
        <v>1263</v>
      </c>
      <c r="B48" s="450"/>
      <c r="C48" s="421"/>
      <c r="D48" s="421"/>
      <c r="E48" s="421"/>
      <c r="F48" s="421"/>
      <c r="G48" s="452"/>
      <c r="H48" s="449"/>
      <c r="I48" s="412"/>
    </row>
    <row r="49" spans="1:9">
      <c r="A49" s="450"/>
      <c r="B49" s="453"/>
      <c r="C49" s="421"/>
      <c r="D49" s="421"/>
      <c r="E49" s="421"/>
      <c r="F49" s="421"/>
      <c r="G49" s="452"/>
      <c r="H49" s="449"/>
      <c r="I49" s="412"/>
    </row>
    <row r="50" spans="1:9">
      <c r="A50" s="450"/>
      <c r="B50" s="453"/>
      <c r="C50" s="421"/>
      <c r="D50" s="421"/>
      <c r="E50" s="421"/>
      <c r="F50" s="421"/>
      <c r="G50" s="452"/>
      <c r="H50" s="449"/>
      <c r="I50" s="412"/>
    </row>
    <row r="51" spans="1:9">
      <c r="A51" s="453"/>
      <c r="B51" s="453"/>
      <c r="C51" s="421"/>
      <c r="D51" s="421"/>
      <c r="E51" s="421"/>
      <c r="F51" s="421"/>
      <c r="G51" s="452"/>
      <c r="H51" s="449"/>
      <c r="I51" s="412"/>
    </row>
    <row r="52" spans="1:9">
      <c r="A52" s="417"/>
      <c r="B52" s="417"/>
      <c r="C52" s="412"/>
      <c r="D52" s="412"/>
      <c r="E52" s="412"/>
      <c r="F52" s="412"/>
      <c r="G52" s="412"/>
      <c r="H52" s="451">
        <f>SUM(H48:H51)</f>
        <v>0</v>
      </c>
      <c r="I52" s="412"/>
    </row>
    <row r="53" spans="1:9">
      <c r="A53" s="417"/>
      <c r="B53" s="417"/>
      <c r="C53" s="412"/>
      <c r="D53" s="412"/>
      <c r="E53" s="412"/>
      <c r="F53" s="412"/>
      <c r="G53" s="412"/>
      <c r="H53" s="412"/>
      <c r="I53" s="412"/>
    </row>
    <row r="54" spans="1:9">
      <c r="A54" s="454" t="s">
        <v>1264</v>
      </c>
      <c r="B54" s="455"/>
      <c r="C54" s="455"/>
      <c r="D54" s="432"/>
      <c r="E54" s="432"/>
      <c r="F54" s="432"/>
      <c r="G54" s="432"/>
      <c r="H54" s="456">
        <f>H45+H52</f>
        <v>1852843.7800000003</v>
      </c>
      <c r="I54" s="412"/>
    </row>
    <row r="55" spans="1:9">
      <c r="A55" s="412"/>
      <c r="B55" s="412"/>
      <c r="C55" s="412"/>
      <c r="D55" s="412"/>
      <c r="E55" s="412"/>
      <c r="F55" s="412"/>
      <c r="G55" s="412"/>
      <c r="H55" s="412"/>
      <c r="I55" s="412"/>
    </row>
    <row r="56" spans="1:9">
      <c r="A56" s="412"/>
      <c r="B56" s="412"/>
      <c r="C56" s="412"/>
      <c r="D56" s="412"/>
      <c r="E56" s="412"/>
      <c r="F56" s="412"/>
      <c r="G56" s="412"/>
      <c r="H56" s="412"/>
      <c r="I56" s="412"/>
    </row>
    <row r="57" spans="1:9">
      <c r="A57" s="443" t="s">
        <v>1265</v>
      </c>
      <c r="B57" s="443"/>
      <c r="C57" s="457"/>
      <c r="D57" s="435"/>
      <c r="E57" s="435"/>
      <c r="F57" s="435"/>
      <c r="G57" s="435"/>
      <c r="H57" s="457"/>
      <c r="I57" s="412"/>
    </row>
    <row r="58" spans="1:9">
      <c r="A58" s="458"/>
      <c r="B58" s="458"/>
      <c r="C58" s="412"/>
      <c r="D58" s="412"/>
      <c r="E58" s="412"/>
      <c r="F58" s="412"/>
      <c r="G58" s="412"/>
      <c r="H58" s="412"/>
      <c r="I58" s="412"/>
    </row>
    <row r="59" spans="1:9">
      <c r="A59" s="417" t="s">
        <v>1266</v>
      </c>
      <c r="B59" s="445" t="s">
        <v>1267</v>
      </c>
      <c r="C59" s="412"/>
      <c r="D59" s="445" t="s">
        <v>1245</v>
      </c>
      <c r="E59" s="459">
        <f>MAX(0,D11-E23)</f>
        <v>6609.5599999999995</v>
      </c>
      <c r="F59" s="412"/>
      <c r="G59" s="412"/>
      <c r="H59" s="418">
        <f>ROUND(E59*I6+E60,2)</f>
        <v>1807516.37</v>
      </c>
      <c r="I59" s="412"/>
    </row>
    <row r="60" spans="1:9">
      <c r="A60" s="417"/>
      <c r="B60" s="445" t="s">
        <v>1268</v>
      </c>
      <c r="C60" s="412"/>
      <c r="D60" s="412"/>
      <c r="E60" s="460"/>
      <c r="F60" s="412"/>
      <c r="G60" s="412"/>
      <c r="H60" s="417"/>
      <c r="I60" s="412"/>
    </row>
    <row r="61" spans="1:9">
      <c r="A61" s="417" t="s">
        <v>1269</v>
      </c>
      <c r="B61" s="417" t="s">
        <v>1270</v>
      </c>
      <c r="C61" s="412"/>
      <c r="D61" s="412"/>
      <c r="E61" s="412"/>
      <c r="F61" s="412"/>
      <c r="G61" s="412"/>
      <c r="H61" s="418">
        <f>ROUND(D11*I11+E62,2)</f>
        <v>10266</v>
      </c>
      <c r="I61" s="412"/>
    </row>
    <row r="62" spans="1:9">
      <c r="A62" s="417"/>
      <c r="B62" s="445" t="s">
        <v>1268</v>
      </c>
      <c r="C62" s="412"/>
      <c r="D62" s="412"/>
      <c r="E62" s="460"/>
      <c r="F62" s="412"/>
      <c r="G62" s="412"/>
      <c r="H62" s="461"/>
      <c r="I62" s="412"/>
    </row>
    <row r="63" spans="1:9">
      <c r="A63" s="417" t="s">
        <v>1271</v>
      </c>
      <c r="B63" s="417" t="s">
        <v>1272</v>
      </c>
      <c r="C63" s="412"/>
      <c r="D63" s="412"/>
      <c r="E63" s="412"/>
      <c r="F63" s="412"/>
      <c r="G63" s="412"/>
      <c r="H63" s="418">
        <f>IF((H69+H70)-H65&lt;0,0,ROUND((H69+H70)-H65,2))</f>
        <v>0</v>
      </c>
      <c r="I63" s="412"/>
    </row>
    <row r="64" spans="1:9">
      <c r="A64" s="445" t="s">
        <v>1273</v>
      </c>
      <c r="B64" s="445" t="s">
        <v>1274</v>
      </c>
      <c r="C64" s="412"/>
      <c r="D64" s="412"/>
      <c r="E64" s="412"/>
      <c r="F64" s="412"/>
      <c r="G64" s="412"/>
      <c r="H64" s="418">
        <f>ROUND(D11*I15,2)</f>
        <v>0</v>
      </c>
      <c r="I64" s="412"/>
    </row>
    <row r="65" spans="1:10">
      <c r="A65" s="417" t="s">
        <v>1275</v>
      </c>
      <c r="B65" s="417" t="s">
        <v>1276</v>
      </c>
      <c r="C65" s="412"/>
      <c r="D65" s="412"/>
      <c r="E65" s="412"/>
      <c r="F65" s="412"/>
      <c r="G65" s="412"/>
      <c r="H65" s="418">
        <f>IF((I23*0.286138+I24*0.704165)-H61&lt;0,0,ROUND((I23*0.286138+I24*0.704165)-H61,2))</f>
        <v>35061.410000000003</v>
      </c>
      <c r="I65" s="412"/>
    </row>
    <row r="66" spans="1:10">
      <c r="A66" s="417"/>
      <c r="B66" s="417"/>
      <c r="C66" s="412"/>
      <c r="D66" s="412"/>
      <c r="E66" s="412"/>
      <c r="F66" s="412"/>
      <c r="G66" s="412"/>
      <c r="H66" s="451">
        <f>SUM(H58:H65)</f>
        <v>1852843.78</v>
      </c>
      <c r="I66" s="412"/>
    </row>
    <row r="67" spans="1:10">
      <c r="A67" s="412"/>
      <c r="B67" s="412"/>
      <c r="C67" s="412"/>
      <c r="D67" s="412"/>
      <c r="E67" s="412"/>
      <c r="F67" s="412"/>
      <c r="G67" s="412"/>
      <c r="H67" s="412"/>
      <c r="I67" s="412"/>
    </row>
    <row r="68" spans="1:10">
      <c r="A68" s="412"/>
      <c r="B68" s="412"/>
      <c r="C68" s="412"/>
      <c r="D68" s="412"/>
      <c r="E68" s="412"/>
      <c r="F68" s="412"/>
      <c r="G68" s="412"/>
      <c r="H68" s="412"/>
      <c r="I68" s="412"/>
    </row>
    <row r="69" spans="1:10">
      <c r="A69" s="412"/>
      <c r="B69" s="412" t="s">
        <v>1277</v>
      </c>
      <c r="C69" s="412"/>
      <c r="D69" s="412"/>
      <c r="E69" s="412"/>
      <c r="F69" s="462" t="s">
        <v>1278</v>
      </c>
      <c r="G69" s="412"/>
      <c r="H69" s="460">
        <v>0</v>
      </c>
      <c r="I69" s="412"/>
      <c r="J69" s="463" t="s">
        <v>1279</v>
      </c>
    </row>
    <row r="70" spans="1:10">
      <c r="A70" s="412"/>
      <c r="B70" s="412" t="s">
        <v>1280</v>
      </c>
      <c r="C70" s="412"/>
      <c r="D70" s="412"/>
      <c r="E70" s="412"/>
      <c r="F70" s="462" t="s">
        <v>1281</v>
      </c>
      <c r="G70" s="412"/>
      <c r="H70" s="460"/>
      <c r="I70" s="412"/>
      <c r="J70" s="464" t="s">
        <v>1282</v>
      </c>
    </row>
  </sheetData>
  <conditionalFormatting sqref="C20">
    <cfRule type="expression" dxfId="1" priority="1" stopIfTrue="1">
      <formula>CELL("protect",C20)</formula>
    </cfRule>
  </conditionalFormatting>
  <conditionalFormatting sqref="C19">
    <cfRule type="expression" dxfId="0" priority="2" stopIfTrue="1">
      <formula>CELL("protect",C19)</formula>
    </cfRule>
  </conditionalFormatting>
  <hyperlinks>
    <hyperlink ref="J70" r:id="rId1" location="/SpecialEdHoldHarmlessDetails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Assumptions Page </vt:lpstr>
      <vt:lpstr>COVERSHEET</vt:lpstr>
      <vt:lpstr>RESOLUTION 6-2022</vt:lpstr>
      <vt:lpstr>Resolution</vt:lpstr>
      <vt:lpstr>Summary</vt:lpstr>
      <vt:lpstr>REVENUE</vt:lpstr>
      <vt:lpstr>EXPENSE</vt:lpstr>
      <vt:lpstr>State Aid Calculation</vt:lpstr>
      <vt:lpstr>New Calcuator</vt:lpstr>
      <vt:lpstr>Sheet1</vt:lpstr>
      <vt:lpstr>Items Needed</vt:lpstr>
      <vt:lpstr>Worksheet</vt:lpstr>
      <vt:lpstr>State Aid Proposals</vt:lpstr>
      <vt:lpstr>COVERSHEET!Print_Area</vt:lpstr>
      <vt:lpstr>EXPENSE!Print_Area</vt:lpstr>
      <vt:lpstr>REVENUE!Print_Area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</dc:creator>
  <cp:lastModifiedBy>Bethney Richardson</cp:lastModifiedBy>
  <cp:lastPrinted>2022-04-20T16:02:24Z</cp:lastPrinted>
  <dcterms:created xsi:type="dcterms:W3CDTF">2014-07-22T12:29:55Z</dcterms:created>
  <dcterms:modified xsi:type="dcterms:W3CDTF">2022-04-27T15:39:00Z</dcterms:modified>
</cp:coreProperties>
</file>