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BC175D9A-FDFE-410E-A0A9-A2083EC7D287}" xr6:coauthVersionLast="36" xr6:coauthVersionMax="36" xr10:uidLastSave="{00000000-0000-0000-0000-000000000000}"/>
  <bookViews>
    <workbookView xWindow="0" yWindow="0" windowWidth="20490" windowHeight="7620" activeTab="2" xr2:uid="{00000000-000D-0000-FFFF-FFFF00000000}"/>
  </bookViews>
  <sheets>
    <sheet name="COVERSHEET" sheetId="6" r:id="rId1"/>
    <sheet name="RESOLUTION" sheetId="3" r:id="rId2"/>
    <sheet name="SUMMARY" sheetId="2" r:id="rId3"/>
    <sheet name="BUDGET" sheetId="4" r:id="rId4"/>
    <sheet name="WORKSHEET" sheetId="1" r:id="rId5"/>
    <sheet name="Sheet1" sheetId="5" state="hidden" r:id="rId6"/>
  </sheets>
  <definedNames>
    <definedName name="_xlnm.Print_Area" localSheetId="0">COVERSHEET!$A$1:$I$21</definedName>
    <definedName name="_xlnm.Print_Area" localSheetId="4">WORKSHEET!$A$1:$L$79</definedName>
  </definedNames>
  <calcPr calcId="191029"/>
</workbook>
</file>

<file path=xl/calcChain.xml><?xml version="1.0" encoding="utf-8"?>
<calcChain xmlns="http://schemas.openxmlformats.org/spreadsheetml/2006/main">
  <c r="B62" i="2" l="1"/>
  <c r="D62" i="2"/>
  <c r="F62" i="2"/>
  <c r="G62" i="2"/>
  <c r="H62" i="2"/>
  <c r="I62" i="2"/>
  <c r="J62" i="2"/>
  <c r="J13" i="4" l="1"/>
  <c r="L33" i="1"/>
  <c r="J54" i="2" l="1"/>
  <c r="K54" i="2" s="1"/>
  <c r="K54" i="4"/>
  <c r="L73" i="1"/>
  <c r="L24" i="1"/>
  <c r="K62" i="1" l="1"/>
  <c r="J40" i="4"/>
  <c r="K47" i="2"/>
  <c r="L44" i="1"/>
  <c r="L45" i="1"/>
  <c r="L46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4" i="1"/>
  <c r="L35" i="1"/>
  <c r="L36" i="1"/>
  <c r="I7" i="4"/>
  <c r="K75" i="1"/>
  <c r="J56" i="4" s="1"/>
  <c r="K56" i="4" s="1"/>
  <c r="L75" i="1" l="1"/>
  <c r="J56" i="2"/>
  <c r="K56" i="2" s="1"/>
  <c r="J51" i="4"/>
  <c r="K51" i="4" s="1"/>
  <c r="J52" i="4"/>
  <c r="J53" i="4"/>
  <c r="J55" i="4"/>
  <c r="J13" i="2"/>
  <c r="J26" i="4"/>
  <c r="J27" i="4"/>
  <c r="J27" i="2" s="1"/>
  <c r="J28" i="4"/>
  <c r="J31" i="4"/>
  <c r="J32" i="4"/>
  <c r="J32" i="2" s="1"/>
  <c r="J33" i="4"/>
  <c r="J34" i="4"/>
  <c r="J35" i="4"/>
  <c r="J36" i="4"/>
  <c r="J37" i="4"/>
  <c r="J37" i="2" s="1"/>
  <c r="J38" i="4"/>
  <c r="J39" i="4"/>
  <c r="J41" i="4"/>
  <c r="J41" i="2" s="1"/>
  <c r="J42" i="4"/>
  <c r="J43" i="4"/>
  <c r="J43" i="2" s="1"/>
  <c r="J44" i="4"/>
  <c r="J45" i="4"/>
  <c r="J45" i="2" s="1"/>
  <c r="J46" i="4"/>
  <c r="J47" i="4"/>
  <c r="J48" i="2" s="1"/>
  <c r="J48" i="4"/>
  <c r="J49" i="4"/>
  <c r="J50" i="2" s="1"/>
  <c r="J50" i="4"/>
  <c r="J11" i="4"/>
  <c r="J12" i="4"/>
  <c r="J12" i="2" s="1"/>
  <c r="G15" i="3" s="1"/>
  <c r="J14" i="4"/>
  <c r="J15" i="4"/>
  <c r="J16" i="4"/>
  <c r="J16" i="2" s="1"/>
  <c r="G18" i="3" s="1"/>
  <c r="J17" i="4"/>
  <c r="J18" i="4"/>
  <c r="J31" i="2"/>
  <c r="J33" i="2"/>
  <c r="J49" i="2"/>
  <c r="H47" i="4"/>
  <c r="H47" i="2" s="1"/>
  <c r="H40" i="4"/>
  <c r="H39" i="4"/>
  <c r="H39" i="2" s="1"/>
  <c r="H26" i="4"/>
  <c r="H12" i="4"/>
  <c r="H13" i="4"/>
  <c r="H15" i="4"/>
  <c r="H11" i="4"/>
  <c r="H16" i="4"/>
  <c r="H17" i="4"/>
  <c r="H18" i="4"/>
  <c r="J52" i="2" l="1"/>
  <c r="K52" i="2" s="1"/>
  <c r="K52" i="4"/>
  <c r="J11" i="2"/>
  <c r="G14" i="3" s="1"/>
  <c r="J40" i="2"/>
  <c r="J35" i="2"/>
  <c r="J14" i="2"/>
  <c r="G17" i="3" s="1"/>
  <c r="J46" i="2"/>
  <c r="J42" i="2"/>
  <c r="J38" i="2"/>
  <c r="J34" i="2"/>
  <c r="J26" i="2"/>
  <c r="J55" i="2"/>
  <c r="K55" i="2" s="1"/>
  <c r="K55" i="4"/>
  <c r="J51" i="2"/>
  <c r="K51" i="2" s="1"/>
  <c r="J36" i="2"/>
  <c r="J17" i="2"/>
  <c r="J44" i="2"/>
  <c r="J39" i="2"/>
  <c r="J28" i="2"/>
  <c r="J18" i="2"/>
  <c r="J15" i="2"/>
  <c r="G16" i="3" s="1"/>
  <c r="J53" i="2"/>
  <c r="K53" i="2" s="1"/>
  <c r="K53" i="4"/>
  <c r="J20" i="2" l="1"/>
  <c r="G19" i="3"/>
  <c r="K42" i="1"/>
  <c r="J24" i="4" s="1"/>
  <c r="J24" i="2" s="1"/>
  <c r="I61" i="1"/>
  <c r="I51" i="1"/>
  <c r="I48" i="1"/>
  <c r="I47" i="1"/>
  <c r="I43" i="1"/>
  <c r="L42" i="1"/>
  <c r="L13" i="1"/>
  <c r="K5" i="1"/>
  <c r="K38" i="1"/>
  <c r="K48" i="1"/>
  <c r="J5" i="4"/>
  <c r="J30" i="4" l="1"/>
  <c r="J30" i="2" s="1"/>
  <c r="L43" i="1"/>
  <c r="J25" i="4"/>
  <c r="J25" i="2" s="1"/>
  <c r="K47" i="1"/>
  <c r="K77" i="1" s="1"/>
  <c r="K81" i="1" s="1"/>
  <c r="J48" i="1"/>
  <c r="L48" i="1" s="1"/>
  <c r="J47" i="1"/>
  <c r="E58" i="2"/>
  <c r="I24" i="4"/>
  <c r="I31" i="4"/>
  <c r="K31" i="4" s="1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K41" i="4" s="1"/>
  <c r="I42" i="4"/>
  <c r="K42" i="4" s="1"/>
  <c r="I43" i="4"/>
  <c r="K43" i="4" s="1"/>
  <c r="I44" i="4"/>
  <c r="K44" i="4" s="1"/>
  <c r="I45" i="4"/>
  <c r="K45" i="4" s="1"/>
  <c r="I46" i="4"/>
  <c r="K46" i="4" s="1"/>
  <c r="I47" i="4"/>
  <c r="K47" i="4" s="1"/>
  <c r="I48" i="4"/>
  <c r="K48" i="4" s="1"/>
  <c r="I49" i="4"/>
  <c r="K49" i="4" s="1"/>
  <c r="I50" i="4"/>
  <c r="K50" i="4" s="1"/>
  <c r="I25" i="4"/>
  <c r="I26" i="4"/>
  <c r="K26" i="4" s="1"/>
  <c r="I27" i="4"/>
  <c r="K27" i="4" s="1"/>
  <c r="I28" i="4"/>
  <c r="K25" i="4" l="1"/>
  <c r="L47" i="1"/>
  <c r="J29" i="4"/>
  <c r="J29" i="2" s="1"/>
  <c r="J58" i="2" s="1"/>
  <c r="G43" i="3" s="1"/>
  <c r="I28" i="2"/>
  <c r="K28" i="2" s="1"/>
  <c r="K28" i="4"/>
  <c r="I24" i="2"/>
  <c r="K24" i="2" s="1"/>
  <c r="K24" i="4"/>
  <c r="I29" i="4"/>
  <c r="I30" i="4"/>
  <c r="K30" i="4" s="1"/>
  <c r="K29" i="4" l="1"/>
  <c r="K58" i="4" s="1"/>
  <c r="I58" i="4"/>
  <c r="E77" i="1"/>
  <c r="F77" i="1"/>
  <c r="I39" i="2" l="1"/>
  <c r="K39" i="2" s="1"/>
  <c r="I14" i="4" l="1"/>
  <c r="I15" i="2" l="1"/>
  <c r="K15" i="2" s="1"/>
  <c r="K14" i="4"/>
  <c r="J5" i="1"/>
  <c r="J38" i="1"/>
  <c r="I5" i="4"/>
  <c r="I11" i="4"/>
  <c r="K11" i="4" s="1"/>
  <c r="I12" i="4"/>
  <c r="I13" i="4"/>
  <c r="I15" i="4"/>
  <c r="I16" i="4"/>
  <c r="I17" i="4"/>
  <c r="I18" i="4"/>
  <c r="I38" i="2"/>
  <c r="K38" i="2" s="1"/>
  <c r="I43" i="2"/>
  <c r="K43" i="2" s="1"/>
  <c r="I44" i="2"/>
  <c r="K44" i="2" s="1"/>
  <c r="I25" i="2"/>
  <c r="K25" i="2" s="1"/>
  <c r="I26" i="2"/>
  <c r="K26" i="2" s="1"/>
  <c r="I34" i="2"/>
  <c r="K34" i="2" s="1"/>
  <c r="I13" i="2" l="1"/>
  <c r="K13" i="2" s="1"/>
  <c r="K13" i="4"/>
  <c r="I17" i="2"/>
  <c r="K17" i="2" s="1"/>
  <c r="K17" i="4"/>
  <c r="I12" i="2"/>
  <c r="K12" i="2" s="1"/>
  <c r="K12" i="4"/>
  <c r="I16" i="2"/>
  <c r="K16" i="2" s="1"/>
  <c r="K16" i="4"/>
  <c r="I18" i="2"/>
  <c r="K18" i="2" s="1"/>
  <c r="K18" i="4"/>
  <c r="I14" i="2"/>
  <c r="K14" i="2" s="1"/>
  <c r="K15" i="4"/>
  <c r="I11" i="2"/>
  <c r="J77" i="1"/>
  <c r="J81" i="1" s="1"/>
  <c r="I49" i="2"/>
  <c r="K49" i="2" s="1"/>
  <c r="I40" i="2"/>
  <c r="K40" i="2" s="1"/>
  <c r="I46" i="2"/>
  <c r="K46" i="2" s="1"/>
  <c r="I42" i="2"/>
  <c r="K42" i="2" s="1"/>
  <c r="I37" i="2"/>
  <c r="K37" i="2" s="1"/>
  <c r="I33" i="2"/>
  <c r="K33" i="2" s="1"/>
  <c r="I31" i="2"/>
  <c r="K31" i="2" s="1"/>
  <c r="I30" i="2"/>
  <c r="K30" i="2" s="1"/>
  <c r="I27" i="2"/>
  <c r="K27" i="2" s="1"/>
  <c r="I48" i="2"/>
  <c r="K48" i="2" s="1"/>
  <c r="I35" i="2"/>
  <c r="K35" i="2" s="1"/>
  <c r="I50" i="2"/>
  <c r="K50" i="2" s="1"/>
  <c r="I45" i="2"/>
  <c r="K45" i="2" s="1"/>
  <c r="I41" i="2"/>
  <c r="K41" i="2" s="1"/>
  <c r="I36" i="2"/>
  <c r="K36" i="2" s="1"/>
  <c r="I32" i="2"/>
  <c r="K32" i="2" s="1"/>
  <c r="I20" i="4"/>
  <c r="H26" i="2"/>
  <c r="G26" i="2"/>
  <c r="D26" i="2"/>
  <c r="K11" i="2" l="1"/>
  <c r="J58" i="4"/>
  <c r="I29" i="2"/>
  <c r="K29" i="2" s="1"/>
  <c r="I20" i="2"/>
  <c r="I58" i="2" l="1"/>
  <c r="L77" i="1"/>
  <c r="H48" i="1" l="1"/>
  <c r="H47" i="1"/>
  <c r="H43" i="1"/>
  <c r="H64" i="1"/>
  <c r="H53" i="1"/>
  <c r="H77" i="1" l="1"/>
  <c r="J20" i="4" l="1"/>
  <c r="H43" i="4"/>
  <c r="H43" i="2" s="1"/>
  <c r="H42" i="4"/>
  <c r="H42" i="2" s="1"/>
  <c r="H37" i="4"/>
  <c r="H37" i="2" s="1"/>
  <c r="H14" i="2"/>
  <c r="H50" i="4"/>
  <c r="H49" i="4"/>
  <c r="H49" i="2" s="1"/>
  <c r="H48" i="4"/>
  <c r="H48" i="2" s="1"/>
  <c r="H46" i="4"/>
  <c r="H46" i="2" s="1"/>
  <c r="G48" i="4"/>
  <c r="G48" i="2" s="1"/>
  <c r="G46" i="4"/>
  <c r="G46" i="2" s="1"/>
  <c r="H25" i="4"/>
  <c r="H27" i="4"/>
  <c r="H27" i="2" s="1"/>
  <c r="H31" i="4"/>
  <c r="H31" i="2" s="1"/>
  <c r="H32" i="4"/>
  <c r="H32" i="2" s="1"/>
  <c r="H33" i="4"/>
  <c r="H33" i="2" s="1"/>
  <c r="H34" i="4"/>
  <c r="H34" i="2" s="1"/>
  <c r="H35" i="4"/>
  <c r="H35" i="2" s="1"/>
  <c r="H36" i="4"/>
  <c r="H36" i="2" s="1"/>
  <c r="H38" i="4"/>
  <c r="H38" i="2" s="1"/>
  <c r="H40" i="2"/>
  <c r="H41" i="4"/>
  <c r="H44" i="4"/>
  <c r="H44" i="2" s="1"/>
  <c r="H45" i="4"/>
  <c r="H45" i="2" s="1"/>
  <c r="H11" i="2"/>
  <c r="H12" i="2"/>
  <c r="H16" i="2"/>
  <c r="H17" i="2"/>
  <c r="H5" i="4"/>
  <c r="I5" i="1"/>
  <c r="I38" i="1"/>
  <c r="G50" i="4"/>
  <c r="G50" i="2" s="1"/>
  <c r="G49" i="4"/>
  <c r="G13" i="4"/>
  <c r="G13" i="2" s="1"/>
  <c r="G16" i="4"/>
  <c r="F13" i="4"/>
  <c r="F13" i="2" s="1"/>
  <c r="G38" i="4"/>
  <c r="G38" i="2" s="1"/>
  <c r="G43" i="4"/>
  <c r="G43" i="2" s="1"/>
  <c r="B44" i="4"/>
  <c r="B44" i="2" s="1"/>
  <c r="D44" i="4"/>
  <c r="D44" i="2" s="1"/>
  <c r="F44" i="4"/>
  <c r="F44" i="2" s="1"/>
  <c r="G44" i="4"/>
  <c r="G44" i="2" s="1"/>
  <c r="B41" i="2"/>
  <c r="D41" i="4"/>
  <c r="D41" i="2" s="1"/>
  <c r="E41" i="4"/>
  <c r="E58" i="4" s="1"/>
  <c r="F41" i="4"/>
  <c r="F41" i="2" s="1"/>
  <c r="G41" i="4"/>
  <c r="G41" i="2" s="1"/>
  <c r="G30" i="4"/>
  <c r="G30" i="2" s="1"/>
  <c r="G31" i="4"/>
  <c r="G31" i="2" s="1"/>
  <c r="G27" i="4"/>
  <c r="G27" i="2" s="1"/>
  <c r="B27" i="4"/>
  <c r="B27" i="2" s="1"/>
  <c r="B29" i="4"/>
  <c r="B29" i="2" s="1"/>
  <c r="B30" i="4"/>
  <c r="B30" i="2" s="1"/>
  <c r="B31" i="4"/>
  <c r="B31" i="2" s="1"/>
  <c r="B32" i="4"/>
  <c r="B32" i="2" s="1"/>
  <c r="B33" i="4"/>
  <c r="B33" i="2" s="1"/>
  <c r="B34" i="4"/>
  <c r="B34" i="2" s="1"/>
  <c r="B35" i="4"/>
  <c r="B35" i="2" s="1"/>
  <c r="B36" i="4"/>
  <c r="B36" i="2" s="1"/>
  <c r="B37" i="4"/>
  <c r="B37" i="2" s="1"/>
  <c r="B40" i="4"/>
  <c r="B40" i="2" s="1"/>
  <c r="B42" i="4"/>
  <c r="B42" i="2" s="1"/>
  <c r="B43" i="4"/>
  <c r="B43" i="2" s="1"/>
  <c r="B45" i="4"/>
  <c r="B45" i="2" s="1"/>
  <c r="G32" i="4"/>
  <c r="G33" i="4"/>
  <c r="G34" i="4"/>
  <c r="G34" i="2" s="1"/>
  <c r="G35" i="4"/>
  <c r="G35" i="2" s="1"/>
  <c r="G36" i="4"/>
  <c r="G37" i="4"/>
  <c r="G37" i="2" s="1"/>
  <c r="G40" i="4"/>
  <c r="G42" i="4"/>
  <c r="G42" i="2" s="1"/>
  <c r="G45" i="4"/>
  <c r="G45" i="2" s="1"/>
  <c r="F27" i="4"/>
  <c r="F27" i="2" s="1"/>
  <c r="F32" i="4"/>
  <c r="F32" i="2" s="1"/>
  <c r="F33" i="4"/>
  <c r="F33" i="2" s="1"/>
  <c r="F34" i="4"/>
  <c r="F34" i="2" s="1"/>
  <c r="F35" i="4"/>
  <c r="F35" i="2" s="1"/>
  <c r="F36" i="4"/>
  <c r="F36" i="2" s="1"/>
  <c r="F37" i="4"/>
  <c r="F37" i="2" s="1"/>
  <c r="F40" i="4"/>
  <c r="F40" i="2" s="1"/>
  <c r="F42" i="4"/>
  <c r="F42" i="2" s="1"/>
  <c r="F43" i="4"/>
  <c r="F43" i="2" s="1"/>
  <c r="F45" i="4"/>
  <c r="F45" i="2" s="1"/>
  <c r="F31" i="4"/>
  <c r="F31" i="2" s="1"/>
  <c r="D25" i="4"/>
  <c r="D27" i="4"/>
  <c r="D27" i="2" s="1"/>
  <c r="D31" i="4"/>
  <c r="D31" i="2" s="1"/>
  <c r="D32" i="4"/>
  <c r="D32" i="2" s="1"/>
  <c r="D33" i="4"/>
  <c r="D33" i="2" s="1"/>
  <c r="D34" i="4"/>
  <c r="D34" i="2" s="1"/>
  <c r="D35" i="4"/>
  <c r="D35" i="2" s="1"/>
  <c r="D36" i="4"/>
  <c r="D36" i="2" s="1"/>
  <c r="D37" i="4"/>
  <c r="D37" i="2" s="1"/>
  <c r="D40" i="4"/>
  <c r="D40" i="2" s="1"/>
  <c r="D42" i="4"/>
  <c r="D42" i="2" s="1"/>
  <c r="D43" i="4"/>
  <c r="D43" i="2" s="1"/>
  <c r="D45" i="4"/>
  <c r="D45" i="2" s="1"/>
  <c r="D30" i="4"/>
  <c r="D30" i="2" s="1"/>
  <c r="D29" i="4"/>
  <c r="D29" i="2" s="1"/>
  <c r="G48" i="1"/>
  <c r="F30" i="4" s="1"/>
  <c r="F30" i="2" s="1"/>
  <c r="B25" i="4"/>
  <c r="B25" i="2" s="1"/>
  <c r="H5" i="1"/>
  <c r="G5" i="4"/>
  <c r="G18" i="4"/>
  <c r="G18" i="2" s="1"/>
  <c r="F18" i="4"/>
  <c r="F18" i="2" s="1"/>
  <c r="F17" i="4"/>
  <c r="F17" i="2" s="1"/>
  <c r="G17" i="4"/>
  <c r="G17" i="2" s="1"/>
  <c r="G18" i="1"/>
  <c r="G38" i="1" s="1"/>
  <c r="G5" i="1"/>
  <c r="F5" i="4"/>
  <c r="F12" i="4"/>
  <c r="F12" i="2" s="1"/>
  <c r="F15" i="4"/>
  <c r="F14" i="2" s="1"/>
  <c r="F16" i="4"/>
  <c r="F16" i="2" s="1"/>
  <c r="F25" i="4"/>
  <c r="G47" i="1"/>
  <c r="F11" i="4"/>
  <c r="G29" i="4"/>
  <c r="B18" i="4"/>
  <c r="B18" i="2" s="1"/>
  <c r="D18" i="4"/>
  <c r="D18" i="2" s="1"/>
  <c r="C14" i="1"/>
  <c r="C13" i="1"/>
  <c r="G25" i="4"/>
  <c r="G15" i="4"/>
  <c r="G12" i="4"/>
  <c r="G12" i="2" s="1"/>
  <c r="G11" i="4"/>
  <c r="G11" i="2" s="1"/>
  <c r="H38" i="1"/>
  <c r="B16" i="4"/>
  <c r="B16" i="2" s="1"/>
  <c r="B12" i="4"/>
  <c r="B12" i="2" s="1"/>
  <c r="B13" i="4"/>
  <c r="B13" i="2" s="1"/>
  <c r="D16" i="4"/>
  <c r="D16" i="2" s="1"/>
  <c r="D11" i="4"/>
  <c r="D11" i="2" s="1"/>
  <c r="B7" i="4"/>
  <c r="B8" i="2" s="1"/>
  <c r="B15" i="4"/>
  <c r="B14" i="2" s="1"/>
  <c r="D15" i="4"/>
  <c r="D14" i="2" s="1"/>
  <c r="D13" i="4"/>
  <c r="D13" i="2" s="1"/>
  <c r="D12" i="4"/>
  <c r="D12" i="2" s="1"/>
  <c r="E38" i="1"/>
  <c r="E5" i="1"/>
  <c r="D5" i="4"/>
  <c r="B3" i="1"/>
  <c r="C5" i="1"/>
  <c r="B5" i="4"/>
  <c r="B2" i="1"/>
  <c r="B1" i="1"/>
  <c r="A3" i="4"/>
  <c r="A2" i="4"/>
  <c r="A1" i="4"/>
  <c r="E81" i="1"/>
  <c r="C77" i="1"/>
  <c r="C83" i="1" s="1"/>
  <c r="F25" i="2" l="1"/>
  <c r="G25" i="2"/>
  <c r="G58" i="4"/>
  <c r="D25" i="2"/>
  <c r="D58" i="2" s="1"/>
  <c r="D58" i="4"/>
  <c r="H25" i="2"/>
  <c r="G77" i="1"/>
  <c r="G81" i="1" s="1"/>
  <c r="I77" i="1"/>
  <c r="B11" i="4"/>
  <c r="B11" i="2" s="1"/>
  <c r="B20" i="2" s="1"/>
  <c r="C38" i="1"/>
  <c r="C79" i="1" s="1"/>
  <c r="E7" i="1" s="1"/>
  <c r="E79" i="1" s="1"/>
  <c r="H7" i="1" s="1"/>
  <c r="H29" i="4"/>
  <c r="H29" i="2" s="1"/>
  <c r="F29" i="4"/>
  <c r="F58" i="4" s="1"/>
  <c r="H41" i="2"/>
  <c r="H50" i="2"/>
  <c r="H13" i="2"/>
  <c r="F20" i="4"/>
  <c r="G16" i="2"/>
  <c r="L38" i="1"/>
  <c r="G33" i="2"/>
  <c r="F11" i="2"/>
  <c r="F20" i="2" s="1"/>
  <c r="G14" i="2"/>
  <c r="G29" i="2"/>
  <c r="G49" i="2"/>
  <c r="G40" i="2"/>
  <c r="G32" i="2"/>
  <c r="H30" i="4"/>
  <c r="H20" i="4"/>
  <c r="H81" i="1"/>
  <c r="G20" i="4"/>
  <c r="B58" i="2"/>
  <c r="D20" i="2"/>
  <c r="D20" i="4"/>
  <c r="G36" i="2"/>
  <c r="H18" i="2"/>
  <c r="B58" i="4"/>
  <c r="G79" i="1" l="1"/>
  <c r="H58" i="4"/>
  <c r="G58" i="2"/>
  <c r="K58" i="2"/>
  <c r="B20" i="4"/>
  <c r="B60" i="4" s="1"/>
  <c r="D7" i="4" s="1"/>
  <c r="D60" i="4" s="1"/>
  <c r="F29" i="2"/>
  <c r="F26" i="2"/>
  <c r="B60" i="2"/>
  <c r="D8" i="2" s="1"/>
  <c r="D60" i="2" s="1"/>
  <c r="F60" i="4"/>
  <c r="H20" i="2"/>
  <c r="H30" i="2"/>
  <c r="H58" i="2" s="1"/>
  <c r="G20" i="2"/>
  <c r="H79" i="1"/>
  <c r="I7" i="1" s="1"/>
  <c r="K20" i="4"/>
  <c r="F58" i="2" l="1"/>
  <c r="F60" i="2" s="1"/>
  <c r="G21" i="3"/>
  <c r="G46" i="3"/>
  <c r="G52" i="3" s="1"/>
  <c r="G7" i="4"/>
  <c r="G60" i="4" s="1"/>
  <c r="H7" i="4" s="1"/>
  <c r="K20" i="2"/>
  <c r="I81" i="1"/>
  <c r="I79" i="1"/>
  <c r="K7" i="1" s="1"/>
  <c r="G8" i="2"/>
  <c r="G60" i="2" s="1"/>
  <c r="H8" i="2" s="1"/>
  <c r="L7" i="1" l="1"/>
  <c r="L79" i="1" s="1"/>
  <c r="K79" i="1"/>
  <c r="J79" i="1"/>
  <c r="H60" i="4"/>
  <c r="J7" i="4" l="1"/>
  <c r="K7" i="4" s="1"/>
  <c r="H60" i="2"/>
  <c r="J8" i="2" s="1"/>
  <c r="G24" i="3" s="1"/>
  <c r="J60" i="4" l="1"/>
  <c r="J60" i="2"/>
  <c r="I60" i="4"/>
  <c r="K60" i="4" l="1"/>
  <c r="K8" i="2"/>
  <c r="I60" i="2" l="1"/>
  <c r="G26" i="3"/>
  <c r="G55" i="3" s="1"/>
  <c r="K60" i="2"/>
</calcChain>
</file>

<file path=xl/sharedStrings.xml><?xml version="1.0" encoding="utf-8"?>
<sst xmlns="http://schemas.openxmlformats.org/spreadsheetml/2006/main" count="243" uniqueCount="153">
  <si>
    <t>FUND BALANCE (Beginning)</t>
  </si>
  <si>
    <t>REVENUE</t>
  </si>
  <si>
    <t>Local Revenues</t>
  </si>
  <si>
    <t>State Revenues</t>
  </si>
  <si>
    <t>Federal Revenues</t>
  </si>
  <si>
    <t>Federal Commodities</t>
  </si>
  <si>
    <t>Transfer from General Fund</t>
  </si>
  <si>
    <t>Total Revenues</t>
  </si>
  <si>
    <t>EXPENDITURES</t>
  </si>
  <si>
    <t>Salary</t>
  </si>
  <si>
    <t>FICA</t>
  </si>
  <si>
    <t>Retirement</t>
  </si>
  <si>
    <t>Substitute Costs</t>
  </si>
  <si>
    <t>Workers Compensation</t>
  </si>
  <si>
    <t>Travel</t>
  </si>
  <si>
    <t>National School Breakfast</t>
  </si>
  <si>
    <t>National School Lunch</t>
  </si>
  <si>
    <t>Supplies</t>
  </si>
  <si>
    <t>Dues/Fees</t>
  </si>
  <si>
    <t>Miscellaneous</t>
  </si>
  <si>
    <t>USDA Commodities</t>
  </si>
  <si>
    <t>Indirect Cost (projected)</t>
  </si>
  <si>
    <t>Total Expenditures</t>
  </si>
  <si>
    <t>FUND BALANCE (Ending)</t>
  </si>
  <si>
    <t>BOARD OF EDUCATION</t>
  </si>
  <si>
    <t>REVENUE:</t>
  </si>
  <si>
    <t>State</t>
  </si>
  <si>
    <t>Federal</t>
  </si>
  <si>
    <t>Fund Balance Available to Appropriate</t>
  </si>
  <si>
    <t>Total Available to Appropriate</t>
  </si>
  <si>
    <t>EXPENDITURES:</t>
  </si>
  <si>
    <t xml:space="preserve">Local </t>
  </si>
  <si>
    <t>GENERAL APPROPRIATIONS RESOLUTION</t>
  </si>
  <si>
    <t>FOOD SERVICE FUND</t>
  </si>
  <si>
    <t>Basic programs, Instruction</t>
  </si>
  <si>
    <t>Pupil Support</t>
  </si>
  <si>
    <t>Instructional Support</t>
  </si>
  <si>
    <t>School Administration</t>
  </si>
  <si>
    <t>Business Support</t>
  </si>
  <si>
    <t>Operations/Maintenance</t>
  </si>
  <si>
    <t>Transportation</t>
  </si>
  <si>
    <t>Central Services</t>
  </si>
  <si>
    <t>Other Support Services</t>
  </si>
  <si>
    <t>TOTAL Expenditures</t>
  </si>
  <si>
    <t>Fund Modifications</t>
  </si>
  <si>
    <t>Transfer to General Fund</t>
  </si>
  <si>
    <t>TOTAL APPROPIATED</t>
  </si>
  <si>
    <t>FUND BALANCE ENDING JUNE 30TH</t>
  </si>
  <si>
    <t>General Administration</t>
  </si>
  <si>
    <t>Community Services</t>
  </si>
  <si>
    <t>Added Needs, Instruction</t>
  </si>
  <si>
    <t>Outgoing Transfers &amp; Other Transactions</t>
  </si>
  <si>
    <t>Difference between Amended Budget and Est.</t>
  </si>
  <si>
    <t>Difference</t>
  </si>
  <si>
    <t>MOTION MADE BY MEMBER:</t>
  </si>
  <si>
    <t>MOTION SECONDED BY MEMBER:</t>
  </si>
  <si>
    <t>AYES:</t>
  </si>
  <si>
    <t>NAYES:</t>
  </si>
  <si>
    <t>MOTION DECLARED ADOPTED ON:</t>
  </si>
  <si>
    <t>Uniform Allowance</t>
  </si>
  <si>
    <t>Local Revenues - Student Sales</t>
  </si>
  <si>
    <t>Local Revenues - Adult Sales</t>
  </si>
  <si>
    <t>Local Revenues - Ala Carte</t>
  </si>
  <si>
    <t>Local Revenues - Misc. Income</t>
  </si>
  <si>
    <t>State Revenues - Prior Period Adj</t>
  </si>
  <si>
    <t>Federal Revenues - Lunch</t>
  </si>
  <si>
    <t>Federal Revenues - Breakfast</t>
  </si>
  <si>
    <t>State Revenues - State Aid</t>
  </si>
  <si>
    <t xml:space="preserve"> </t>
  </si>
  <si>
    <t>Local Revenues - Donations</t>
  </si>
  <si>
    <t>Prior Period Adj</t>
  </si>
  <si>
    <t>2017-2018 Actual Revenue and Expenses</t>
  </si>
  <si>
    <t>Fund Balance as a % of Expenditures</t>
  </si>
  <si>
    <t>Cash Needs - 3 Months</t>
  </si>
  <si>
    <t>BUDGET</t>
  </si>
  <si>
    <t>FOOD SERVICES</t>
  </si>
  <si>
    <t>LITCHFIELD COMMUNITY SCHOOLS</t>
  </si>
  <si>
    <t>Local Revenues - Milk Sales</t>
  </si>
  <si>
    <t>Contracted Services</t>
  </si>
  <si>
    <t>Repairs</t>
  </si>
  <si>
    <t>03135</t>
  </si>
  <si>
    <t>03130</t>
  </si>
  <si>
    <t>03210</t>
  </si>
  <si>
    <t>03315</t>
  </si>
  <si>
    <t>03310</t>
  </si>
  <si>
    <t>03150</t>
  </si>
  <si>
    <t>03120</t>
  </si>
  <si>
    <t>91124</t>
  </si>
  <si>
    <t>03320</t>
  </si>
  <si>
    <t>03140</t>
  </si>
  <si>
    <t>03220</t>
  </si>
  <si>
    <t>At Risk</t>
  </si>
  <si>
    <t>Prior Period Ad</t>
  </si>
  <si>
    <t>FOOD SERVICE</t>
  </si>
  <si>
    <t>2019-2020 BUDGET</t>
  </si>
  <si>
    <t>2018-2019 Actual Revenue and Expenses</t>
  </si>
  <si>
    <t>Equipmenat</t>
  </si>
  <si>
    <t>Equipment</t>
  </si>
  <si>
    <t>Copier Lease/Supplies</t>
  </si>
  <si>
    <t>Federal Revenues - SPSP Covid 19</t>
  </si>
  <si>
    <t>SFSP COVID19 Meals</t>
  </si>
  <si>
    <t>Fuel</t>
  </si>
  <si>
    <t xml:space="preserve">Driver Wages </t>
  </si>
  <si>
    <t>Driver Retirement</t>
  </si>
  <si>
    <t>Driver FICA</t>
  </si>
  <si>
    <t>03325</t>
  </si>
  <si>
    <t>CRF License Fee</t>
  </si>
  <si>
    <t>03326</t>
  </si>
  <si>
    <t>Federal Revenues - CRF</t>
  </si>
  <si>
    <t>2019-2020 Actual Revenue and Expenses</t>
  </si>
  <si>
    <t>Federal Revenues - Equipment Grant</t>
  </si>
  <si>
    <t>03311</t>
  </si>
  <si>
    <t>Equipment Grant</t>
  </si>
  <si>
    <t>03121</t>
  </si>
  <si>
    <t>Local Revenues - GenYouth Grant</t>
  </si>
  <si>
    <t>Gen Youth - Misc Supplies</t>
  </si>
  <si>
    <t>Salary - Custodial</t>
  </si>
  <si>
    <t>BUDGET 2021-2022</t>
  </si>
  <si>
    <t>Health Insurance</t>
  </si>
  <si>
    <t>Salary Supervisor</t>
  </si>
  <si>
    <t>03211</t>
  </si>
  <si>
    <t>Employer Contribution Forfieture Cr</t>
  </si>
  <si>
    <t>2021-2022</t>
  </si>
  <si>
    <r>
      <rPr>
        <b/>
        <sz val="16"/>
        <color indexed="8"/>
        <rFont val="Times New Roman"/>
        <family val="1"/>
      </rPr>
      <t>RESOLVED</t>
    </r>
    <r>
      <rPr>
        <sz val="16"/>
        <color indexed="8"/>
        <rFont val="Times New Roman"/>
        <family val="1"/>
      </rPr>
      <t>, that this resolution shall be the general appropriations of the Litchfield Community School District for the fiscal year 2021-2022.  A resolution to make appropriations; and to provide for the disposition of all income received by the Litchfield Community  School District.</t>
    </r>
  </si>
  <si>
    <t>Insurance Cost</t>
  </si>
  <si>
    <t>This appropriation is effective for the 2021/2022 fiscal year.</t>
  </si>
  <si>
    <t>Approved 2021-2022 Budget</t>
  </si>
  <si>
    <t>2020-2021 Actual Revenue and Expenses</t>
  </si>
  <si>
    <t>Ammended in Progress 2021-2022 Budget</t>
  </si>
  <si>
    <t>03314</t>
  </si>
  <si>
    <t>Federal Revenues - Breakfastn Prior</t>
  </si>
  <si>
    <t>03321</t>
  </si>
  <si>
    <t>ESSER II 9/30-22</t>
  </si>
  <si>
    <t>ESSER -WRF- Salary</t>
  </si>
  <si>
    <t>ESSER -WRF- Retirement</t>
  </si>
  <si>
    <t>Diamond1963*2</t>
  </si>
  <si>
    <t>Indirect Cost</t>
  </si>
  <si>
    <t>Indirect Rate</t>
  </si>
  <si>
    <t>2021-2022 AMENCED FOOD SERVICE BUDGET</t>
  </si>
  <si>
    <t>80042-80052</t>
  </si>
  <si>
    <t>80060-80057</t>
  </si>
  <si>
    <t>ESSER III</t>
  </si>
  <si>
    <t>ESSR III</t>
  </si>
  <si>
    <t>03222</t>
  </si>
  <si>
    <t>PANDEMIC - EBT (P-EBT)</t>
  </si>
  <si>
    <t>AMENDED</t>
  </si>
  <si>
    <r>
      <t>BE IT FURTHER RESOLVED,</t>
    </r>
    <r>
      <rPr>
        <sz val="16"/>
        <color indexed="8"/>
        <rFont val="Times New Roman"/>
        <family val="1"/>
      </rPr>
      <t xml:space="preserve"> that $325,892 of the total available to appropriate in the </t>
    </r>
    <r>
      <rPr>
        <b/>
        <sz val="16"/>
        <color indexed="8"/>
        <rFont val="Times New Roman"/>
        <family val="1"/>
      </rPr>
      <t>FOOD SERVICE FUND</t>
    </r>
    <r>
      <rPr>
        <sz val="16"/>
        <color indexed="8"/>
        <rFont val="Times New Roman"/>
        <family val="1"/>
      </rPr>
      <t xml:space="preserve"> is hereby appropriated into the amounts and for the purposes set forth below:</t>
    </r>
  </si>
  <si>
    <t>S. Schlumm</t>
  </si>
  <si>
    <t>M. Parks</t>
  </si>
  <si>
    <r>
      <rPr>
        <b/>
        <sz val="16"/>
        <color indexed="8"/>
        <rFont val="Times New Roman"/>
        <family val="1"/>
      </rPr>
      <t xml:space="preserve">BE IT FURTHER RESOLVED, </t>
    </r>
    <r>
      <rPr>
        <sz val="16"/>
        <color indexed="8"/>
        <rFont val="Times New Roman"/>
        <family val="1"/>
      </rPr>
      <t xml:space="preserve">that the total revenue and unappropriated fund balance be available for appropriations in the </t>
    </r>
    <r>
      <rPr>
        <b/>
        <sz val="16"/>
        <color indexed="8"/>
        <rFont val="Times New Roman"/>
        <family val="1"/>
      </rPr>
      <t>FOOD SERVICE FUND</t>
    </r>
    <r>
      <rPr>
        <sz val="16"/>
        <color indexed="8"/>
        <rFont val="Times New Roman"/>
        <family val="1"/>
      </rPr>
      <t xml:space="preserve"> of the Litchfield Community School District for the fiscal year 2021-2022 as follows:</t>
    </r>
  </si>
  <si>
    <t xml:space="preserve">  USDA - Commodities</t>
  </si>
  <si>
    <t>ESSER -WRF- FICA</t>
  </si>
  <si>
    <t>AMENDED 4/26/2022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</si>
</sst>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C0000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i/>
      <sz val="16"/>
      <color indexed="8"/>
      <name val="Times New Roman"/>
      <family val="1"/>
    </font>
    <font>
      <sz val="12"/>
      <color theme="1"/>
      <name val="Calibri"/>
      <family val="2"/>
      <scheme val="minor"/>
    </font>
    <font>
      <sz val="36"/>
      <color indexed="8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/>
    <xf numFmtId="0" fontId="4" fillId="0" borderId="0" xfId="0" applyFont="1" applyAlignment="1">
      <alignment vertical="top"/>
    </xf>
    <xf numFmtId="14" fontId="2" fillId="0" borderId="0" xfId="2" applyNumberFormat="1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0" xfId="2" applyFont="1"/>
    <xf numFmtId="0" fontId="3" fillId="0" borderId="0" xfId="2" applyFont="1" applyAlignment="1">
      <alignment horizontal="left" indent="1"/>
    </xf>
    <xf numFmtId="43" fontId="3" fillId="0" borderId="0" xfId="1" applyFont="1" applyAlignment="1"/>
    <xf numFmtId="0" fontId="3" fillId="0" borderId="0" xfId="2" applyFont="1" applyAlignment="1">
      <alignment wrapText="1"/>
    </xf>
    <xf numFmtId="0" fontId="2" fillId="0" borderId="0" xfId="2" applyFont="1" applyAlignment="1">
      <alignment horizontal="left" indent="2"/>
    </xf>
    <xf numFmtId="43" fontId="2" fillId="0" borderId="2" xfId="1" applyFont="1" applyBorder="1" applyAlignment="1"/>
    <xf numFmtId="0" fontId="3" fillId="0" borderId="0" xfId="2" applyFont="1" applyFill="1"/>
    <xf numFmtId="43" fontId="2" fillId="0" borderId="2" xfId="2" applyNumberFormat="1" applyFont="1" applyBorder="1"/>
    <xf numFmtId="44" fontId="2" fillId="0" borderId="3" xfId="2" applyNumberFormat="1" applyFont="1" applyBorder="1"/>
    <xf numFmtId="43" fontId="2" fillId="0" borderId="0" xfId="2" applyNumberFormat="1" applyFont="1" applyAlignment="1">
      <alignment horizontal="center"/>
    </xf>
    <xf numFmtId="43" fontId="3" fillId="0" borderId="0" xfId="2" applyNumberFormat="1" applyFont="1"/>
    <xf numFmtId="43" fontId="2" fillId="0" borderId="2" xfId="1" applyNumberFormat="1" applyFont="1" applyBorder="1" applyAlignment="1"/>
    <xf numFmtId="43" fontId="4" fillId="0" borderId="0" xfId="0" applyNumberFormat="1" applyFont="1" applyAlignment="1">
      <alignment vertical="top"/>
    </xf>
    <xf numFmtId="14" fontId="2" fillId="0" borderId="0" xfId="2" applyNumberFormat="1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43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7" fontId="10" fillId="0" borderId="0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 indent="1"/>
    </xf>
    <xf numFmtId="164" fontId="10" fillId="0" borderId="0" xfId="4" applyNumberFormat="1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3" fontId="9" fillId="0" borderId="0" xfId="0" applyNumberFormat="1" applyFont="1" applyBorder="1" applyAlignment="1">
      <alignment vertical="top"/>
    </xf>
    <xf numFmtId="0" fontId="9" fillId="0" borderId="0" xfId="0" applyFont="1" applyAlignment="1">
      <alignment horizontal="left" vertical="top"/>
    </xf>
    <xf numFmtId="14" fontId="2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 vertical="top"/>
    </xf>
    <xf numFmtId="0" fontId="13" fillId="0" borderId="0" xfId="0" applyFont="1"/>
    <xf numFmtId="43" fontId="13" fillId="0" borderId="0" xfId="0" applyNumberFormat="1" applyFont="1"/>
    <xf numFmtId="44" fontId="3" fillId="0" borderId="0" xfId="2" applyNumberFormat="1" applyFont="1" applyBorder="1" applyAlignment="1">
      <alignment horizontal="center" wrapText="1"/>
    </xf>
    <xf numFmtId="43" fontId="3" fillId="0" borderId="0" xfId="2" applyNumberFormat="1" applyFont="1" applyFill="1"/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2" fillId="0" borderId="0" xfId="2" applyFont="1" applyAlignment="1"/>
    <xf numFmtId="14" fontId="2" fillId="0" borderId="0" xfId="2" applyNumberFormat="1" applyFont="1" applyAlignment="1"/>
    <xf numFmtId="0" fontId="11" fillId="0" borderId="0" xfId="0" applyFont="1" applyFill="1" applyAlignment="1">
      <alignment vertical="top"/>
    </xf>
    <xf numFmtId="0" fontId="7" fillId="0" borderId="0" xfId="0" applyFont="1" applyBorder="1" applyAlignment="1">
      <alignment horizontal="center" wrapText="1"/>
    </xf>
    <xf numFmtId="14" fontId="3" fillId="0" borderId="0" xfId="2" applyNumberFormat="1" applyFont="1"/>
    <xf numFmtId="0" fontId="3" fillId="0" borderId="0" xfId="2" applyFont="1" applyAlignment="1">
      <alignment horizontal="left"/>
    </xf>
    <xf numFmtId="43" fontId="3" fillId="0" borderId="0" xfId="2" applyNumberFormat="1" applyFont="1" applyAlignment="1">
      <alignment wrapText="1"/>
    </xf>
    <xf numFmtId="15" fontId="4" fillId="0" borderId="0" xfId="0" applyNumberFormat="1" applyFont="1" applyAlignment="1">
      <alignment vertical="top"/>
    </xf>
    <xf numFmtId="43" fontId="3" fillId="0" borderId="0" xfId="3" applyNumberFormat="1" applyFont="1"/>
    <xf numFmtId="43" fontId="3" fillId="0" borderId="0" xfId="1" applyNumberFormat="1" applyFont="1" applyAlignment="1"/>
    <xf numFmtId="43" fontId="2" fillId="0" borderId="2" xfId="3" applyNumberFormat="1" applyFont="1" applyBorder="1"/>
    <xf numFmtId="43" fontId="3" fillId="0" borderId="0" xfId="2" applyNumberFormat="1" applyFont="1" applyFill="1" applyAlignment="1">
      <alignment vertical="center" wrapText="1"/>
    </xf>
    <xf numFmtId="44" fontId="2" fillId="0" borderId="1" xfId="2" applyNumberFormat="1" applyFont="1" applyBorder="1" applyAlignment="1">
      <alignment horizontal="center" wrapText="1"/>
    </xf>
    <xf numFmtId="41" fontId="5" fillId="0" borderId="4" xfId="0" applyNumberFormat="1" applyFont="1" applyBorder="1" applyAlignment="1">
      <alignment horizontal="center" vertical="center" wrapText="1"/>
    </xf>
    <xf numFmtId="41" fontId="2" fillId="0" borderId="0" xfId="2" applyNumberFormat="1" applyFont="1" applyFill="1" applyAlignment="1">
      <alignment horizontal="center"/>
    </xf>
    <xf numFmtId="41" fontId="2" fillId="0" borderId="1" xfId="2" applyNumberFormat="1" applyFont="1" applyFill="1" applyBorder="1" applyAlignment="1">
      <alignment horizontal="center" wrapText="1"/>
    </xf>
    <xf numFmtId="41" fontId="3" fillId="0" borderId="0" xfId="2" applyNumberFormat="1" applyFont="1" applyFill="1"/>
    <xf numFmtId="41" fontId="2" fillId="0" borderId="2" xfId="3" applyNumberFormat="1" applyFont="1" applyBorder="1"/>
    <xf numFmtId="41" fontId="2" fillId="0" borderId="2" xfId="1" applyNumberFormat="1" applyFont="1" applyFill="1" applyBorder="1" applyAlignment="1"/>
    <xf numFmtId="41" fontId="3" fillId="0" borderId="0" xfId="1" applyNumberFormat="1" applyFont="1" applyFill="1" applyAlignment="1"/>
    <xf numFmtId="41" fontId="2" fillId="0" borderId="3" xfId="2" applyNumberFormat="1" applyFont="1" applyFill="1" applyBorder="1"/>
    <xf numFmtId="41" fontId="4" fillId="0" borderId="0" xfId="0" applyNumberFormat="1" applyFont="1" applyFill="1" applyAlignment="1">
      <alignment vertical="top"/>
    </xf>
    <xf numFmtId="41" fontId="2" fillId="0" borderId="0" xfId="2" applyNumberFormat="1" applyFont="1" applyAlignment="1">
      <alignment horizontal="center"/>
    </xf>
    <xf numFmtId="41" fontId="5" fillId="0" borderId="1" xfId="1" applyNumberFormat="1" applyFont="1" applyBorder="1" applyAlignment="1">
      <alignment horizontal="center" wrapText="1"/>
    </xf>
    <xf numFmtId="41" fontId="5" fillId="0" borderId="0" xfId="1" applyNumberFormat="1" applyFont="1" applyBorder="1" applyAlignment="1">
      <alignment horizontal="center" wrapText="1"/>
    </xf>
    <xf numFmtId="41" fontId="3" fillId="0" borderId="0" xfId="2" applyNumberFormat="1" applyFont="1"/>
    <xf numFmtId="41" fontId="3" fillId="0" borderId="0" xfId="3" applyNumberFormat="1" applyFont="1"/>
    <xf numFmtId="41" fontId="2" fillId="0" borderId="3" xfId="2" applyNumberFormat="1" applyFont="1" applyBorder="1"/>
    <xf numFmtId="41" fontId="4" fillId="0" borderId="0" xfId="0" applyNumberFormat="1" applyFont="1" applyAlignment="1">
      <alignment vertical="top"/>
    </xf>
    <xf numFmtId="41" fontId="13" fillId="0" borderId="0" xfId="0" applyNumberFormat="1" applyFont="1"/>
    <xf numFmtId="41" fontId="2" fillId="0" borderId="2" xfId="1" applyNumberFormat="1" applyFont="1" applyBorder="1" applyAlignment="1"/>
    <xf numFmtId="41" fontId="2" fillId="0" borderId="0" xfId="1" applyNumberFormat="1" applyFont="1" applyBorder="1" applyAlignment="1"/>
    <xf numFmtId="41" fontId="3" fillId="0" borderId="0" xfId="1" applyNumberFormat="1" applyFont="1" applyAlignment="1"/>
    <xf numFmtId="41" fontId="2" fillId="0" borderId="0" xfId="2" applyNumberFormat="1" applyFont="1" applyBorder="1"/>
    <xf numFmtId="41" fontId="2" fillId="0" borderId="1" xfId="2" applyNumberFormat="1" applyFont="1" applyBorder="1" applyAlignment="1">
      <alignment horizontal="center" wrapText="1"/>
    </xf>
    <xf numFmtId="41" fontId="7" fillId="0" borderId="0" xfId="0" applyNumberFormat="1" applyFont="1" applyBorder="1" applyAlignment="1">
      <alignment horizontal="center" wrapText="1"/>
    </xf>
    <xf numFmtId="41" fontId="13" fillId="0" borderId="0" xfId="0" applyNumberFormat="1" applyFont="1" applyBorder="1"/>
    <xf numFmtId="41" fontId="2" fillId="0" borderId="0" xfId="2" applyNumberFormat="1" applyFont="1" applyBorder="1" applyAlignment="1">
      <alignment horizontal="center" wrapText="1"/>
    </xf>
    <xf numFmtId="41" fontId="3" fillId="0" borderId="0" xfId="2" applyNumberFormat="1" applyFont="1" applyBorder="1" applyAlignment="1">
      <alignment horizontal="center" wrapText="1"/>
    </xf>
    <xf numFmtId="41" fontId="3" fillId="0" borderId="0" xfId="1" applyNumberFormat="1" applyFont="1" applyBorder="1" applyAlignment="1"/>
    <xf numFmtId="41" fontId="8" fillId="0" borderId="0" xfId="0" applyNumberFormat="1" applyFont="1" applyAlignment="1">
      <alignment horizontal="center" vertical="top"/>
    </xf>
    <xf numFmtId="41" fontId="8" fillId="0" borderId="0" xfId="0" applyNumberFormat="1" applyFont="1" applyAlignment="1">
      <alignment vertical="top" wrapText="1"/>
    </xf>
    <xf numFmtId="41" fontId="9" fillId="0" borderId="0" xfId="0" applyNumberFormat="1" applyFont="1" applyAlignment="1">
      <alignment vertical="top"/>
    </xf>
    <xf numFmtId="41" fontId="11" fillId="0" borderId="0" xfId="0" applyNumberFormat="1" applyFont="1" applyAlignment="1">
      <alignment vertical="top"/>
    </xf>
    <xf numFmtId="41" fontId="10" fillId="0" borderId="0" xfId="0" applyNumberFormat="1" applyFont="1" applyAlignment="1">
      <alignment vertical="top"/>
    </xf>
    <xf numFmtId="41" fontId="10" fillId="0" borderId="0" xfId="0" applyNumberFormat="1" applyFont="1" applyBorder="1" applyAlignment="1">
      <alignment vertical="top"/>
    </xf>
    <xf numFmtId="41" fontId="10" fillId="0" borderId="0" xfId="0" applyNumberFormat="1" applyFont="1" applyAlignment="1">
      <alignment horizontal="left" vertical="top"/>
    </xf>
    <xf numFmtId="41" fontId="10" fillId="0" borderId="1" xfId="0" applyNumberFormat="1" applyFont="1" applyBorder="1" applyAlignment="1">
      <alignment vertical="top"/>
    </xf>
    <xf numFmtId="41" fontId="10" fillId="0" borderId="4" xfId="1" applyNumberFormat="1" applyFont="1" applyBorder="1" applyAlignment="1">
      <alignment vertical="top"/>
    </xf>
    <xf numFmtId="41" fontId="9" fillId="0" borderId="0" xfId="0" applyNumberFormat="1" applyFont="1" applyAlignment="1">
      <alignment vertical="top" wrapText="1"/>
    </xf>
    <xf numFmtId="41" fontId="11" fillId="0" borderId="0" xfId="1" applyNumberFormat="1" applyFont="1" applyAlignment="1">
      <alignment vertical="top"/>
    </xf>
    <xf numFmtId="41" fontId="11" fillId="0" borderId="4" xfId="1" applyNumberFormat="1" applyFont="1" applyBorder="1" applyAlignment="1">
      <alignment vertical="top"/>
    </xf>
    <xf numFmtId="41" fontId="10" fillId="0" borderId="0" xfId="4" applyNumberFormat="1" applyFont="1" applyBorder="1" applyAlignment="1">
      <alignment vertical="top"/>
    </xf>
    <xf numFmtId="41" fontId="10" fillId="0" borderId="4" xfId="4" applyNumberFormat="1" applyFont="1" applyBorder="1" applyAlignment="1">
      <alignment vertical="top"/>
    </xf>
    <xf numFmtId="41" fontId="10" fillId="0" borderId="5" xfId="4" applyNumberFormat="1" applyFont="1" applyBorder="1" applyAlignment="1">
      <alignment vertical="top"/>
    </xf>
    <xf numFmtId="41" fontId="8" fillId="0" borderId="6" xfId="0" applyNumberFormat="1" applyFont="1" applyBorder="1" applyAlignment="1">
      <alignment vertical="top"/>
    </xf>
    <xf numFmtId="0" fontId="8" fillId="0" borderId="0" xfId="2" applyFont="1"/>
    <xf numFmtId="41" fontId="4" fillId="0" borderId="0" xfId="1" applyNumberFormat="1" applyFont="1" applyBorder="1" applyAlignment="1">
      <alignment horizontal="center" wrapText="1"/>
    </xf>
    <xf numFmtId="41" fontId="2" fillId="0" borderId="0" xfId="2" applyNumberFormat="1" applyFont="1"/>
    <xf numFmtId="41" fontId="4" fillId="0" borderId="0" xfId="0" applyNumberFormat="1" applyFont="1" applyAlignment="1">
      <alignment horizontal="left" vertical="top"/>
    </xf>
    <xf numFmtId="41" fontId="5" fillId="0" borderId="0" xfId="0" applyNumberFormat="1" applyFont="1" applyBorder="1" applyAlignment="1">
      <alignment horizontal="center" vertical="center" wrapText="1"/>
    </xf>
    <xf numFmtId="41" fontId="2" fillId="0" borderId="0" xfId="2" applyNumberFormat="1" applyFont="1" applyFill="1" applyBorder="1" applyAlignment="1">
      <alignment horizontal="center" wrapText="1"/>
    </xf>
    <xf numFmtId="41" fontId="2" fillId="0" borderId="0" xfId="3" applyNumberFormat="1" applyFont="1" applyBorder="1"/>
    <xf numFmtId="41" fontId="2" fillId="0" borderId="0" xfId="2" applyNumberFormat="1" applyFont="1" applyFill="1" applyBorder="1"/>
    <xf numFmtId="41" fontId="3" fillId="0" borderId="0" xfId="1" applyNumberFormat="1" applyFont="1" applyFill="1" applyAlignment="1">
      <alignment vertical="center" wrapText="1"/>
    </xf>
    <xf numFmtId="43" fontId="3" fillId="0" borderId="0" xfId="2" applyNumberFormat="1" applyFont="1" applyBorder="1" applyAlignment="1">
      <alignment horizontal="center" wrapText="1"/>
    </xf>
    <xf numFmtId="43" fontId="2" fillId="0" borderId="3" xfId="2" applyNumberFormat="1" applyFont="1" applyBorder="1"/>
    <xf numFmtId="44" fontId="3" fillId="0" borderId="0" xfId="2" applyNumberFormat="1" applyFont="1" applyAlignment="1">
      <alignment horizontal="left" indent="1"/>
    </xf>
    <xf numFmtId="10" fontId="13" fillId="0" borderId="0" xfId="0" applyNumberFormat="1" applyFont="1"/>
    <xf numFmtId="43" fontId="0" fillId="0" borderId="0" xfId="1" applyFont="1"/>
    <xf numFmtId="44" fontId="0" fillId="0" borderId="6" xfId="1" applyNumberFormat="1" applyFont="1" applyFill="1" applyBorder="1"/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4" fillId="0" borderId="0" xfId="0" quotePrefix="1" applyFont="1" applyAlignment="1">
      <alignment vertical="top"/>
    </xf>
    <xf numFmtId="41" fontId="18" fillId="0" borderId="0" xfId="1" applyNumberFormat="1" applyFont="1" applyFill="1" applyAlignment="1">
      <alignment vertical="center" wrapText="1"/>
    </xf>
    <xf numFmtId="41" fontId="4" fillId="0" borderId="0" xfId="1" applyNumberFormat="1" applyFont="1" applyFill="1" applyBorder="1" applyAlignment="1">
      <alignment horizontal="center" wrapText="1"/>
    </xf>
    <xf numFmtId="10" fontId="4" fillId="0" borderId="0" xfId="0" applyNumberFormat="1" applyFont="1" applyFill="1" applyAlignment="1">
      <alignment vertical="top"/>
    </xf>
    <xf numFmtId="165" fontId="9" fillId="0" borderId="0" xfId="0" applyNumberFormat="1" applyFont="1" applyAlignment="1">
      <alignment vertical="top"/>
    </xf>
    <xf numFmtId="41" fontId="3" fillId="2" borderId="0" xfId="1" applyNumberFormat="1" applyFont="1" applyFill="1" applyAlignment="1">
      <alignment vertical="center" wrapText="1"/>
    </xf>
    <xf numFmtId="41" fontId="18" fillId="2" borderId="0" xfId="1" applyNumberFormat="1" applyFont="1" applyFill="1" applyAlignment="1">
      <alignment vertical="center" wrapText="1"/>
    </xf>
    <xf numFmtId="41" fontId="4" fillId="2" borderId="0" xfId="1" applyNumberFormat="1" applyFont="1" applyFill="1" applyBorder="1" applyAlignment="1">
      <alignment horizontal="center" wrapText="1"/>
    </xf>
    <xf numFmtId="41" fontId="3" fillId="2" borderId="0" xfId="1" applyNumberFormat="1" applyFont="1" applyFill="1" applyAlignment="1"/>
    <xf numFmtId="0" fontId="4" fillId="0" borderId="0" xfId="0" applyFont="1" applyAlignment="1">
      <alignment horizontal="left" vertical="top"/>
    </xf>
    <xf numFmtId="41" fontId="3" fillId="2" borderId="0" xfId="1" applyNumberFormat="1" applyFont="1" applyFill="1" applyAlignment="1">
      <alignment horizontal="center" vertical="center" wrapText="1"/>
    </xf>
    <xf numFmtId="0" fontId="6" fillId="0" borderId="0" xfId="2" applyFont="1" applyFill="1"/>
    <xf numFmtId="43" fontId="3" fillId="0" borderId="0" xfId="2" applyNumberFormat="1" applyFont="1" applyFill="1" applyAlignment="1">
      <alignment horizontal="center" vertical="top"/>
    </xf>
    <xf numFmtId="41" fontId="13" fillId="2" borderId="0" xfId="0" applyNumberFormat="1" applyFont="1" applyFill="1"/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17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14" fontId="8" fillId="0" borderId="0" xfId="0" applyNumberFormat="1" applyFont="1" applyFill="1" applyAlignment="1">
      <alignment horizontal="center" vertical="top"/>
    </xf>
    <xf numFmtId="0" fontId="2" fillId="0" borderId="0" xfId="2" applyFont="1" applyAlignment="1">
      <alignment horizontal="center"/>
    </xf>
    <xf numFmtId="14" fontId="2" fillId="0" borderId="0" xfId="2" applyNumberFormat="1" applyFont="1" applyFill="1" applyAlignment="1">
      <alignment horizontal="center"/>
    </xf>
    <xf numFmtId="14" fontId="2" fillId="0" borderId="0" xfId="2" applyNumberFormat="1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Currency" xfId="4" builtinId="4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opLeftCell="A6" zoomScaleNormal="100" workbookViewId="0">
      <selection activeCell="A10" sqref="A10:J10"/>
    </sheetView>
  </sheetViews>
  <sheetFormatPr defaultRowHeight="15" x14ac:dyDescent="0.25"/>
  <cols>
    <col min="1" max="16384" width="9.140625" style="120"/>
  </cols>
  <sheetData>
    <row r="2" spans="1:10" ht="44.25" x14ac:dyDescent="0.25">
      <c r="A2" s="138" t="s">
        <v>122</v>
      </c>
      <c r="B2" s="138"/>
      <c r="C2" s="138"/>
      <c r="D2" s="138"/>
      <c r="E2" s="138"/>
      <c r="F2" s="138"/>
      <c r="G2" s="138"/>
      <c r="H2" s="138"/>
      <c r="I2" s="138"/>
      <c r="J2" s="138"/>
    </row>
    <row r="7" spans="1:10" ht="44.25" x14ac:dyDescent="0.25">
      <c r="A7" s="138" t="s">
        <v>75</v>
      </c>
      <c r="B7" s="138"/>
      <c r="C7" s="138"/>
      <c r="D7" s="138"/>
      <c r="E7" s="138"/>
      <c r="F7" s="138"/>
      <c r="G7" s="138"/>
      <c r="H7" s="138"/>
      <c r="I7" s="138"/>
      <c r="J7" s="138"/>
    </row>
    <row r="10" spans="1:10" ht="44.25" x14ac:dyDescent="0.25">
      <c r="A10" s="138" t="s">
        <v>145</v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2" spans="1:10" ht="44.25" x14ac:dyDescent="0.25">
      <c r="A12" s="138" t="s">
        <v>74</v>
      </c>
      <c r="B12" s="138"/>
      <c r="C12" s="138"/>
      <c r="D12" s="138"/>
      <c r="E12" s="138"/>
      <c r="F12" s="138"/>
      <c r="G12" s="138"/>
      <c r="H12" s="138"/>
      <c r="I12" s="138"/>
      <c r="J12" s="138"/>
    </row>
    <row r="15" spans="1:10" ht="20.25" x14ac:dyDescent="0.25">
      <c r="A15" s="140">
        <v>44677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x14ac:dyDescent="0.25">
      <c r="C16" s="139"/>
      <c r="D16" s="139"/>
      <c r="E16" s="139"/>
      <c r="F16" s="139"/>
      <c r="G16" s="139"/>
    </row>
    <row r="18" spans="1:10" s="121" customFormat="1" ht="27.75" x14ac:dyDescent="0.25">
      <c r="C18" s="136"/>
      <c r="D18" s="136"/>
      <c r="E18" s="136"/>
      <c r="F18" s="136"/>
      <c r="G18" s="136"/>
    </row>
    <row r="21" spans="1:10" ht="27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</sheetData>
  <mergeCells count="8">
    <mergeCell ref="C18:G18"/>
    <mergeCell ref="A21:J21"/>
    <mergeCell ref="A2:J2"/>
    <mergeCell ref="A7:J7"/>
    <mergeCell ref="A10:J10"/>
    <mergeCell ref="A12:J12"/>
    <mergeCell ref="C16:G16"/>
    <mergeCell ref="A15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5"/>
  <sheetViews>
    <sheetView topLeftCell="A67" zoomScaleNormal="100" workbookViewId="0">
      <selection activeCell="A10" sqref="A10"/>
    </sheetView>
  </sheetViews>
  <sheetFormatPr defaultColWidth="9.140625" defaultRowHeight="20.25" x14ac:dyDescent="0.25"/>
  <cols>
    <col min="1" max="1" width="44.7109375" style="21" customWidth="1"/>
    <col min="2" max="2" width="22.5703125" style="21" bestFit="1" customWidth="1"/>
    <col min="3" max="3" width="2.7109375" style="21" customWidth="1"/>
    <col min="4" max="4" width="9.140625" style="21"/>
    <col min="5" max="6" width="19.7109375" style="21" customWidth="1"/>
    <col min="7" max="7" width="19.7109375" style="91" customWidth="1"/>
    <col min="8" max="8" width="19.7109375" style="21" customWidth="1"/>
    <col min="9" max="16384" width="9.140625" style="21"/>
  </cols>
  <sheetData>
    <row r="1" spans="1:10" x14ac:dyDescent="0.25">
      <c r="A1" s="145" t="s">
        <v>32</v>
      </c>
      <c r="B1" s="145"/>
      <c r="C1" s="145"/>
      <c r="D1" s="145"/>
      <c r="E1" s="145"/>
      <c r="F1" s="145"/>
      <c r="G1" s="145"/>
      <c r="H1" s="145"/>
      <c r="I1" s="145"/>
      <c r="J1" s="20"/>
    </row>
    <row r="2" spans="1:10" x14ac:dyDescent="0.25">
      <c r="A2" s="145" t="s">
        <v>24</v>
      </c>
      <c r="B2" s="145"/>
      <c r="C2" s="145"/>
      <c r="D2" s="145"/>
      <c r="E2" s="145"/>
      <c r="F2" s="145"/>
      <c r="G2" s="145"/>
      <c r="H2" s="145"/>
      <c r="I2" s="145"/>
      <c r="J2" s="20"/>
    </row>
    <row r="3" spans="1:10" x14ac:dyDescent="0.25">
      <c r="A3" s="145" t="s">
        <v>76</v>
      </c>
      <c r="B3" s="145"/>
      <c r="C3" s="145"/>
      <c r="D3" s="145"/>
      <c r="E3" s="145"/>
      <c r="F3" s="145"/>
      <c r="G3" s="145"/>
      <c r="H3" s="145"/>
      <c r="I3" s="145"/>
      <c r="J3" s="20"/>
    </row>
    <row r="4" spans="1:10" x14ac:dyDescent="0.25">
      <c r="A4" s="145" t="s">
        <v>138</v>
      </c>
      <c r="B4" s="145"/>
      <c r="C4" s="145"/>
      <c r="D4" s="145"/>
      <c r="E4" s="145"/>
      <c r="F4" s="145"/>
      <c r="G4" s="145"/>
      <c r="H4" s="145"/>
      <c r="I4" s="145"/>
      <c r="J4" s="20"/>
    </row>
    <row r="5" spans="1:10" x14ac:dyDescent="0.25">
      <c r="A5" s="146">
        <v>44677</v>
      </c>
      <c r="B5" s="146"/>
      <c r="C5" s="146"/>
      <c r="D5" s="146"/>
      <c r="E5" s="146"/>
      <c r="F5" s="146"/>
      <c r="G5" s="146"/>
      <c r="H5" s="146"/>
      <c r="I5" s="146"/>
      <c r="J5" s="22"/>
    </row>
    <row r="6" spans="1:10" x14ac:dyDescent="0.25">
      <c r="A6" s="22"/>
      <c r="B6" s="22"/>
      <c r="C6" s="22"/>
      <c r="D6" s="22"/>
      <c r="E6" s="22"/>
      <c r="F6" s="22"/>
      <c r="G6" s="89"/>
      <c r="H6" s="22"/>
      <c r="I6" s="22"/>
      <c r="J6" s="22"/>
    </row>
    <row r="7" spans="1:10" s="47" customFormat="1" ht="68.25" customHeight="1" x14ac:dyDescent="0.25">
      <c r="A7" s="143" t="s">
        <v>123</v>
      </c>
      <c r="B7" s="143"/>
      <c r="C7" s="143"/>
      <c r="D7" s="143"/>
      <c r="E7" s="143"/>
      <c r="F7" s="143"/>
      <c r="G7" s="143"/>
      <c r="H7" s="143"/>
      <c r="I7" s="143"/>
      <c r="J7" s="46"/>
    </row>
    <row r="8" spans="1:10" x14ac:dyDescent="0.25">
      <c r="A8" s="23"/>
      <c r="B8" s="23"/>
      <c r="C8" s="23"/>
      <c r="D8" s="23"/>
      <c r="E8" s="23"/>
      <c r="F8" s="23"/>
      <c r="G8" s="90"/>
      <c r="H8" s="23"/>
      <c r="I8" s="23"/>
      <c r="J8" s="23"/>
    </row>
    <row r="9" spans="1:10" ht="60.75" customHeight="1" x14ac:dyDescent="0.25">
      <c r="A9" s="144" t="s">
        <v>149</v>
      </c>
      <c r="B9" s="144"/>
      <c r="C9" s="144"/>
      <c r="D9" s="144"/>
      <c r="E9" s="144"/>
      <c r="F9" s="144"/>
      <c r="G9" s="144"/>
      <c r="H9" s="144"/>
      <c r="I9" s="144"/>
      <c r="J9" s="23"/>
    </row>
    <row r="10" spans="1:10" x14ac:dyDescent="0.25">
      <c r="A10" s="23"/>
      <c r="B10" s="23"/>
      <c r="C10" s="23"/>
      <c r="D10" s="23"/>
      <c r="E10" s="23"/>
      <c r="F10" s="23"/>
      <c r="G10" s="90"/>
      <c r="H10" s="23"/>
      <c r="I10" s="23"/>
      <c r="J10" s="23"/>
    </row>
    <row r="11" spans="1:10" x14ac:dyDescent="0.25">
      <c r="A11" s="141" t="s">
        <v>33</v>
      </c>
      <c r="B11" s="141"/>
      <c r="C11" s="141"/>
      <c r="D11" s="141"/>
      <c r="E11" s="141"/>
      <c r="F11" s="141"/>
      <c r="G11" s="141"/>
      <c r="H11" s="141"/>
      <c r="I11" s="23"/>
      <c r="J11" s="23"/>
    </row>
    <row r="12" spans="1:10" x14ac:dyDescent="0.25">
      <c r="I12" s="23"/>
      <c r="J12" s="23"/>
    </row>
    <row r="13" spans="1:10" x14ac:dyDescent="0.25">
      <c r="A13" s="24" t="s">
        <v>25</v>
      </c>
      <c r="B13" s="24"/>
      <c r="C13" s="24"/>
      <c r="D13" s="24"/>
      <c r="E13" s="24"/>
      <c r="F13" s="24"/>
      <c r="G13" s="92"/>
      <c r="H13" s="24"/>
    </row>
    <row r="14" spans="1:10" x14ac:dyDescent="0.25">
      <c r="A14" s="25" t="s">
        <v>31</v>
      </c>
      <c r="B14" s="24"/>
      <c r="C14" s="24"/>
      <c r="D14" s="24"/>
      <c r="F14" s="24"/>
      <c r="G14" s="92">
        <f>SUMMARY!J11</f>
        <v>4900</v>
      </c>
      <c r="H14" s="24"/>
    </row>
    <row r="15" spans="1:10" x14ac:dyDescent="0.25">
      <c r="A15" s="25" t="s">
        <v>26</v>
      </c>
      <c r="B15" s="24"/>
      <c r="C15" s="24"/>
      <c r="D15" s="24"/>
      <c r="F15" s="24"/>
      <c r="G15" s="92">
        <f>SUMMARY!J12</f>
        <v>8068.85</v>
      </c>
      <c r="H15" s="24"/>
    </row>
    <row r="16" spans="1:10" x14ac:dyDescent="0.25">
      <c r="A16" s="25" t="s">
        <v>27</v>
      </c>
      <c r="B16" s="24"/>
      <c r="C16" s="24"/>
      <c r="D16" s="24"/>
      <c r="F16" s="24"/>
      <c r="G16" s="92">
        <f>SUMMARY!J13+SUMMARY!J15</f>
        <v>247308.44</v>
      </c>
      <c r="H16" s="24"/>
    </row>
    <row r="17" spans="1:10" x14ac:dyDescent="0.25">
      <c r="A17" s="25" t="s">
        <v>5</v>
      </c>
      <c r="B17" s="24"/>
      <c r="C17" s="24"/>
      <c r="D17" s="24"/>
      <c r="F17" s="24"/>
      <c r="G17" s="92">
        <f>SUMMARY!J14</f>
        <v>13500</v>
      </c>
      <c r="H17" s="24"/>
    </row>
    <row r="18" spans="1:10" x14ac:dyDescent="0.25">
      <c r="A18" s="25" t="s">
        <v>70</v>
      </c>
      <c r="B18" s="24"/>
      <c r="C18" s="24"/>
      <c r="D18" s="24"/>
      <c r="F18" s="24"/>
      <c r="G18" s="92">
        <f>SUMMARY!J16</f>
        <v>0</v>
      </c>
      <c r="H18" s="24"/>
    </row>
    <row r="19" spans="1:10" x14ac:dyDescent="0.25">
      <c r="A19" s="25" t="s">
        <v>6</v>
      </c>
      <c r="B19" s="24"/>
      <c r="C19" s="24"/>
      <c r="D19" s="51"/>
      <c r="F19" s="24"/>
      <c r="G19" s="92">
        <f>SUMMARY!J18+SUMMARY!J17</f>
        <v>37800</v>
      </c>
      <c r="H19" s="24"/>
    </row>
    <row r="20" spans="1:10" x14ac:dyDescent="0.25">
      <c r="A20" s="24"/>
      <c r="B20" s="24"/>
      <c r="C20" s="24"/>
      <c r="D20" s="26"/>
      <c r="F20" s="24"/>
      <c r="G20" s="93"/>
      <c r="H20" s="24"/>
    </row>
    <row r="21" spans="1:10" x14ac:dyDescent="0.25">
      <c r="A21" s="27" t="s">
        <v>7</v>
      </c>
      <c r="B21" s="24"/>
      <c r="C21" s="24"/>
      <c r="D21" s="24"/>
      <c r="F21" s="24"/>
      <c r="G21" s="94">
        <f>SUM(G14:G19)</f>
        <v>311577.29000000004</v>
      </c>
      <c r="H21" s="92"/>
    </row>
    <row r="22" spans="1:10" x14ac:dyDescent="0.25">
      <c r="A22" s="29"/>
      <c r="B22" s="24"/>
      <c r="C22" s="24"/>
      <c r="D22" s="24"/>
      <c r="F22" s="24"/>
      <c r="G22" s="95"/>
      <c r="H22" s="24"/>
    </row>
    <row r="23" spans="1:10" x14ac:dyDescent="0.25">
      <c r="A23" s="29"/>
      <c r="B23" s="24"/>
      <c r="C23" s="24"/>
      <c r="D23" s="28"/>
      <c r="F23" s="24"/>
      <c r="G23" s="95"/>
      <c r="H23" s="24"/>
    </row>
    <row r="24" spans="1:10" x14ac:dyDescent="0.25">
      <c r="A24" s="29" t="s">
        <v>28</v>
      </c>
      <c r="B24" s="24"/>
      <c r="C24" s="24"/>
      <c r="D24" s="28"/>
      <c r="F24" s="24"/>
      <c r="G24" s="96">
        <f>SUMMARY!J8</f>
        <v>26428.323999999993</v>
      </c>
      <c r="H24" s="24"/>
    </row>
    <row r="25" spans="1:10" x14ac:dyDescent="0.25">
      <c r="A25" s="29"/>
      <c r="B25" s="24"/>
      <c r="C25" s="24"/>
      <c r="D25" s="28"/>
      <c r="F25" s="24"/>
      <c r="G25" s="95"/>
      <c r="H25" s="24"/>
    </row>
    <row r="26" spans="1:10" ht="21" thickBot="1" x14ac:dyDescent="0.3">
      <c r="A26" s="29" t="s">
        <v>29</v>
      </c>
      <c r="B26" s="24"/>
      <c r="C26" s="24"/>
      <c r="D26" s="28"/>
      <c r="F26" s="24"/>
      <c r="G26" s="97">
        <f>G21+G24</f>
        <v>338005.61400000006</v>
      </c>
      <c r="H26" s="24"/>
    </row>
    <row r="27" spans="1:10" x14ac:dyDescent="0.25">
      <c r="A27" s="29"/>
      <c r="B27" s="29"/>
      <c r="C27" s="24"/>
      <c r="D27" s="28"/>
      <c r="E27" s="30"/>
      <c r="F27" s="24"/>
      <c r="G27" s="92"/>
      <c r="H27" s="24"/>
    </row>
    <row r="28" spans="1:10" s="47" customFormat="1" x14ac:dyDescent="0.25">
      <c r="A28" s="142" t="s">
        <v>146</v>
      </c>
      <c r="B28" s="142"/>
      <c r="C28" s="142"/>
      <c r="D28" s="142"/>
      <c r="E28" s="142"/>
      <c r="F28" s="142"/>
      <c r="G28" s="142"/>
      <c r="H28" s="142"/>
      <c r="I28" s="142"/>
      <c r="J28" s="48"/>
    </row>
    <row r="29" spans="1:10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31"/>
    </row>
    <row r="30" spans="1:10" x14ac:dyDescent="0.25">
      <c r="A30" s="31"/>
      <c r="B30" s="31"/>
      <c r="C30" s="31"/>
      <c r="D30" s="31"/>
      <c r="E30" s="31"/>
      <c r="F30" s="31"/>
      <c r="G30" s="98"/>
      <c r="H30" s="31"/>
      <c r="I30" s="31"/>
      <c r="J30" s="31"/>
    </row>
    <row r="31" spans="1:10" x14ac:dyDescent="0.25">
      <c r="A31" s="24" t="s">
        <v>30</v>
      </c>
      <c r="B31" s="24"/>
      <c r="C31" s="24"/>
      <c r="D31" s="24"/>
      <c r="E31" s="24"/>
    </row>
    <row r="32" spans="1:10" x14ac:dyDescent="0.25">
      <c r="A32" s="25"/>
      <c r="B32" s="24"/>
      <c r="C32" s="24"/>
      <c r="D32" s="24"/>
    </row>
    <row r="33" spans="1:13" x14ac:dyDescent="0.25">
      <c r="A33" s="32" t="s">
        <v>34</v>
      </c>
      <c r="B33" s="24"/>
      <c r="C33" s="24"/>
      <c r="D33" s="24"/>
      <c r="G33" s="99">
        <v>0</v>
      </c>
    </row>
    <row r="34" spans="1:13" x14ac:dyDescent="0.25">
      <c r="A34" s="32" t="s">
        <v>50</v>
      </c>
      <c r="B34" s="24"/>
      <c r="C34" s="24"/>
      <c r="D34" s="24"/>
      <c r="G34" s="99">
        <v>0</v>
      </c>
    </row>
    <row r="35" spans="1:13" x14ac:dyDescent="0.25">
      <c r="A35" s="32" t="s">
        <v>35</v>
      </c>
      <c r="B35" s="24"/>
      <c r="C35" s="24"/>
      <c r="D35" s="24"/>
      <c r="G35" s="99">
        <v>0</v>
      </c>
      <c r="M35" s="33"/>
    </row>
    <row r="36" spans="1:13" x14ac:dyDescent="0.25">
      <c r="A36" s="32" t="s">
        <v>36</v>
      </c>
      <c r="B36" s="24"/>
      <c r="C36" s="24"/>
      <c r="D36" s="24"/>
      <c r="G36" s="99">
        <v>0</v>
      </c>
      <c r="M36" s="33"/>
    </row>
    <row r="37" spans="1:13" x14ac:dyDescent="0.25">
      <c r="A37" s="32" t="s">
        <v>48</v>
      </c>
      <c r="B37" s="24"/>
      <c r="C37" s="24"/>
      <c r="D37" s="24"/>
      <c r="G37" s="99">
        <v>0</v>
      </c>
    </row>
    <row r="38" spans="1:13" x14ac:dyDescent="0.25">
      <c r="A38" s="32" t="s">
        <v>37</v>
      </c>
      <c r="B38" s="24"/>
      <c r="C38" s="24"/>
      <c r="D38" s="24"/>
      <c r="G38" s="99">
        <v>0</v>
      </c>
    </row>
    <row r="39" spans="1:13" x14ac:dyDescent="0.25">
      <c r="A39" s="32" t="s">
        <v>38</v>
      </c>
      <c r="B39" s="24"/>
      <c r="C39" s="24"/>
      <c r="D39" s="24"/>
      <c r="G39" s="99">
        <v>0</v>
      </c>
    </row>
    <row r="40" spans="1:13" x14ac:dyDescent="0.25">
      <c r="A40" s="32" t="s">
        <v>39</v>
      </c>
      <c r="B40" s="24"/>
      <c r="C40" s="24"/>
      <c r="D40" s="24"/>
      <c r="G40" s="99">
        <v>0</v>
      </c>
    </row>
    <row r="41" spans="1:13" x14ac:dyDescent="0.25">
      <c r="A41" s="32" t="s">
        <v>40</v>
      </c>
      <c r="B41" s="24"/>
      <c r="C41" s="24"/>
      <c r="D41" s="24"/>
      <c r="G41" s="99">
        <v>0</v>
      </c>
    </row>
    <row r="42" spans="1:13" x14ac:dyDescent="0.25">
      <c r="A42" s="32" t="s">
        <v>41</v>
      </c>
      <c r="B42" s="24"/>
      <c r="C42" s="24"/>
      <c r="D42" s="24"/>
      <c r="G42" s="99">
        <v>0</v>
      </c>
    </row>
    <row r="43" spans="1:13" x14ac:dyDescent="0.25">
      <c r="A43" s="32" t="s">
        <v>42</v>
      </c>
      <c r="B43" s="24"/>
      <c r="C43" s="24"/>
      <c r="D43" s="24"/>
      <c r="G43" s="99">
        <f>SUMMARY!J58</f>
        <v>325891.5</v>
      </c>
    </row>
    <row r="44" spans="1:13" x14ac:dyDescent="0.25">
      <c r="A44" s="32" t="s">
        <v>49</v>
      </c>
      <c r="B44" s="24"/>
      <c r="C44" s="24"/>
      <c r="D44" s="24"/>
      <c r="G44" s="99">
        <v>0</v>
      </c>
    </row>
    <row r="45" spans="1:13" ht="21" thickBot="1" x14ac:dyDescent="0.3">
      <c r="A45" s="32"/>
      <c r="B45" s="24"/>
      <c r="C45" s="24"/>
      <c r="D45" s="24"/>
      <c r="G45" s="100"/>
    </row>
    <row r="46" spans="1:13" x14ac:dyDescent="0.25">
      <c r="A46" s="27" t="s">
        <v>43</v>
      </c>
      <c r="B46" s="24"/>
      <c r="C46" s="24"/>
      <c r="D46" s="24"/>
      <c r="G46" s="101">
        <f>SUM(G33:G45)</f>
        <v>325891.5</v>
      </c>
    </row>
    <row r="47" spans="1:13" x14ac:dyDescent="0.25">
      <c r="A47" s="27"/>
      <c r="B47" s="24"/>
      <c r="C47" s="24"/>
      <c r="D47" s="24"/>
      <c r="G47" s="101"/>
    </row>
    <row r="48" spans="1:13" x14ac:dyDescent="0.25">
      <c r="A48" s="32" t="s">
        <v>51</v>
      </c>
      <c r="B48" s="24"/>
      <c r="C48" s="24"/>
      <c r="D48" s="24"/>
      <c r="G48" s="101">
        <v>0</v>
      </c>
    </row>
    <row r="49" spans="1:8" x14ac:dyDescent="0.25">
      <c r="A49" s="32" t="s">
        <v>44</v>
      </c>
      <c r="B49" s="24"/>
      <c r="C49" s="24"/>
      <c r="D49" s="24"/>
      <c r="G49" s="101">
        <v>0</v>
      </c>
    </row>
    <row r="50" spans="1:8" ht="21" thickBot="1" x14ac:dyDescent="0.3">
      <c r="A50" s="32" t="s">
        <v>45</v>
      </c>
      <c r="B50" s="24"/>
      <c r="C50" s="24"/>
      <c r="D50" s="24"/>
      <c r="G50" s="102" t="s">
        <v>68</v>
      </c>
    </row>
    <row r="51" spans="1:8" x14ac:dyDescent="0.25">
      <c r="A51" s="27"/>
      <c r="B51" s="24"/>
      <c r="C51" s="24"/>
      <c r="D51" s="24"/>
      <c r="G51" s="101"/>
    </row>
    <row r="52" spans="1:8" ht="21" thickBot="1" x14ac:dyDescent="0.3">
      <c r="A52" s="27" t="s">
        <v>46</v>
      </c>
      <c r="B52" s="24"/>
      <c r="C52" s="24"/>
      <c r="D52" s="24"/>
      <c r="G52" s="103">
        <f>SUM(G46:G51)</f>
        <v>325891.5</v>
      </c>
      <c r="H52" s="91"/>
    </row>
    <row r="53" spans="1:8" x14ac:dyDescent="0.25">
      <c r="A53" s="27"/>
      <c r="B53" s="24"/>
      <c r="C53" s="24"/>
      <c r="D53" s="24"/>
      <c r="G53" s="101"/>
    </row>
    <row r="54" spans="1:8" x14ac:dyDescent="0.25">
      <c r="A54" s="27"/>
      <c r="B54" s="24"/>
      <c r="C54" s="24"/>
      <c r="D54" s="24"/>
      <c r="G54" s="101"/>
    </row>
    <row r="55" spans="1:8" ht="21" thickBot="1" x14ac:dyDescent="0.3">
      <c r="A55" s="27" t="s">
        <v>47</v>
      </c>
      <c r="B55" s="24"/>
      <c r="C55" s="24"/>
      <c r="D55" s="24"/>
      <c r="E55" s="34"/>
      <c r="G55" s="104">
        <f>G26-G52</f>
        <v>12114.11400000006</v>
      </c>
      <c r="H55" s="91"/>
    </row>
    <row r="56" spans="1:8" ht="21" thickTop="1" x14ac:dyDescent="0.25">
      <c r="A56" s="24"/>
      <c r="B56" s="35"/>
      <c r="C56" s="36"/>
      <c r="D56" s="37"/>
    </row>
    <row r="57" spans="1:8" x14ac:dyDescent="0.25">
      <c r="A57" s="24"/>
      <c r="B57" s="35"/>
      <c r="C57" s="36"/>
      <c r="D57" s="36"/>
    </row>
    <row r="58" spans="1:8" x14ac:dyDescent="0.25">
      <c r="A58" s="27" t="s">
        <v>125</v>
      </c>
      <c r="B58" s="24"/>
      <c r="C58" s="36"/>
      <c r="D58" s="36"/>
    </row>
    <row r="59" spans="1:8" x14ac:dyDescent="0.25">
      <c r="A59" s="24" t="s">
        <v>54</v>
      </c>
      <c r="B59" s="21" t="s">
        <v>147</v>
      </c>
    </row>
    <row r="60" spans="1:8" x14ac:dyDescent="0.25">
      <c r="A60" s="24" t="s">
        <v>55</v>
      </c>
      <c r="B60" s="21" t="s">
        <v>148</v>
      </c>
    </row>
    <row r="61" spans="1:8" x14ac:dyDescent="0.25">
      <c r="A61" s="24"/>
    </row>
    <row r="62" spans="1:8" x14ac:dyDescent="0.25">
      <c r="A62" s="24" t="s">
        <v>56</v>
      </c>
      <c r="B62" s="21">
        <v>5</v>
      </c>
    </row>
    <row r="63" spans="1:8" x14ac:dyDescent="0.25">
      <c r="A63" s="24"/>
    </row>
    <row r="64" spans="1:8" x14ac:dyDescent="0.25">
      <c r="A64" s="24" t="s">
        <v>57</v>
      </c>
      <c r="B64" s="21">
        <v>0</v>
      </c>
    </row>
    <row r="65" spans="1:10" x14ac:dyDescent="0.25">
      <c r="A65" s="24"/>
    </row>
    <row r="66" spans="1:10" x14ac:dyDescent="0.25">
      <c r="A66" s="24" t="s">
        <v>58</v>
      </c>
      <c r="B66" s="126">
        <v>44677</v>
      </c>
      <c r="C66" s="31"/>
      <c r="D66" s="31"/>
      <c r="E66" s="31"/>
      <c r="F66" s="31"/>
      <c r="G66" s="98"/>
      <c r="H66" s="31"/>
      <c r="I66" s="31"/>
      <c r="J66" s="31"/>
    </row>
    <row r="67" spans="1:10" x14ac:dyDescent="0.25">
      <c r="A67" s="31"/>
      <c r="B67" s="31"/>
      <c r="C67" s="31"/>
      <c r="D67" s="31"/>
      <c r="E67" s="31"/>
      <c r="F67" s="31"/>
      <c r="G67" s="98"/>
      <c r="H67" s="31"/>
      <c r="I67" s="31"/>
      <c r="J67" s="31"/>
    </row>
    <row r="68" spans="1:10" x14ac:dyDescent="0.25">
      <c r="B68" s="31"/>
      <c r="C68" s="31"/>
      <c r="D68" s="31"/>
      <c r="E68" s="31"/>
      <c r="F68" s="31"/>
      <c r="G68" s="98"/>
      <c r="H68" s="31"/>
      <c r="I68" s="31"/>
      <c r="J68" s="31"/>
    </row>
    <row r="69" spans="1:10" x14ac:dyDescent="0.25">
      <c r="A69" s="38"/>
      <c r="B69" s="31"/>
      <c r="C69" s="31"/>
      <c r="D69" s="31"/>
      <c r="E69" s="31"/>
      <c r="F69" s="31"/>
      <c r="G69" s="98"/>
      <c r="H69" s="31"/>
      <c r="I69" s="31"/>
      <c r="J69" s="31"/>
    </row>
    <row r="70" spans="1:10" x14ac:dyDescent="0.25">
      <c r="B70" s="31"/>
      <c r="C70" s="31"/>
      <c r="D70" s="31"/>
      <c r="E70" s="31"/>
      <c r="F70" s="31"/>
      <c r="G70" s="98"/>
      <c r="H70" s="31"/>
      <c r="I70" s="31"/>
      <c r="J70" s="31"/>
    </row>
    <row r="71" spans="1:10" x14ac:dyDescent="0.25">
      <c r="B71" s="31"/>
      <c r="C71" s="31"/>
      <c r="D71" s="31"/>
      <c r="E71" s="31"/>
      <c r="F71" s="31"/>
      <c r="G71" s="98"/>
      <c r="H71" s="31"/>
      <c r="I71" s="31"/>
      <c r="J71" s="31"/>
    </row>
    <row r="72" spans="1:10" x14ac:dyDescent="0.25">
      <c r="B72" s="31"/>
      <c r="C72" s="31"/>
      <c r="D72" s="31"/>
      <c r="E72" s="31"/>
      <c r="F72" s="31"/>
      <c r="G72" s="98"/>
      <c r="H72" s="31"/>
      <c r="I72" s="31"/>
      <c r="J72" s="31"/>
    </row>
    <row r="73" spans="1:10" x14ac:dyDescent="0.25">
      <c r="B73" s="31"/>
      <c r="C73" s="31"/>
      <c r="D73" s="31"/>
      <c r="E73" s="31"/>
      <c r="F73" s="31"/>
      <c r="G73" s="98"/>
      <c r="H73" s="31"/>
      <c r="I73" s="31"/>
      <c r="J73" s="31"/>
    </row>
    <row r="74" spans="1:10" x14ac:dyDescent="0.25">
      <c r="B74" s="31"/>
      <c r="C74" s="31"/>
      <c r="D74" s="31"/>
      <c r="E74" s="31"/>
      <c r="F74" s="31"/>
      <c r="G74" s="98"/>
      <c r="H74" s="31"/>
      <c r="I74" s="31"/>
      <c r="J74" s="31"/>
    </row>
    <row r="75" spans="1:10" x14ac:dyDescent="0.25">
      <c r="B75" s="31"/>
      <c r="C75" s="31"/>
      <c r="D75" s="31"/>
      <c r="E75" s="31"/>
      <c r="F75" s="31"/>
      <c r="G75" s="98"/>
      <c r="H75" s="31"/>
      <c r="I75" s="31"/>
      <c r="J75" s="31"/>
    </row>
  </sheetData>
  <mergeCells count="9">
    <mergeCell ref="A11:H11"/>
    <mergeCell ref="A28:I29"/>
    <mergeCell ref="A7:I7"/>
    <mergeCell ref="A9:I9"/>
    <mergeCell ref="A1:I1"/>
    <mergeCell ref="A2:I2"/>
    <mergeCell ref="A3:I3"/>
    <mergeCell ref="A4:I4"/>
    <mergeCell ref="A5:I5"/>
  </mergeCells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tabSelected="1" zoomScaleNormal="100" workbookViewId="0">
      <selection activeCell="A5" sqref="A5"/>
    </sheetView>
  </sheetViews>
  <sheetFormatPr defaultRowHeight="15.75" x14ac:dyDescent="0.25"/>
  <cols>
    <col min="1" max="1" width="53.5703125" style="2" customWidth="1"/>
    <col min="2" max="2" width="14.85546875" style="77" hidden="1" customWidth="1"/>
    <col min="3" max="3" width="3.42578125" style="78" hidden="1" customWidth="1"/>
    <col min="4" max="4" width="14.7109375" style="78" customWidth="1"/>
    <col min="5" max="5" width="1.28515625" style="78" customWidth="1"/>
    <col min="6" max="6" width="14.7109375" style="78" hidden="1" customWidth="1"/>
    <col min="7" max="11" width="14.7109375" style="78" customWidth="1"/>
    <col min="12" max="12" width="9.140625" style="42"/>
    <col min="13" max="13" width="11.140625" style="42" bestFit="1" customWidth="1"/>
    <col min="14" max="16384" width="9.140625" style="42"/>
  </cols>
  <sheetData>
    <row r="1" spans="1:16" s="2" customFormat="1" x14ac:dyDescent="0.25">
      <c r="A1" s="147" t="s">
        <v>76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49"/>
      <c r="O1" s="49"/>
      <c r="P1" s="1"/>
    </row>
    <row r="2" spans="1:16" s="2" customFormat="1" x14ac:dyDescent="0.25">
      <c r="A2" s="147" t="s">
        <v>93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49"/>
      <c r="O2" s="49"/>
      <c r="P2" s="1"/>
    </row>
    <row r="3" spans="1:16" s="2" customFormat="1" x14ac:dyDescent="0.25">
      <c r="A3" s="147" t="s">
        <v>117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49"/>
      <c r="O3" s="49"/>
      <c r="P3" s="1"/>
    </row>
    <row r="4" spans="1:16" s="2" customFormat="1" x14ac:dyDescent="0.25">
      <c r="A4" s="148" t="s">
        <v>152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50"/>
      <c r="O4" s="50"/>
      <c r="P4" s="1"/>
    </row>
    <row r="5" spans="1:16" s="2" customFormat="1" x14ac:dyDescent="0.25">
      <c r="A5" s="39"/>
      <c r="B5" s="71"/>
      <c r="C5" s="71"/>
      <c r="D5" s="71"/>
      <c r="E5" s="71"/>
      <c r="F5" s="71"/>
      <c r="G5" s="71"/>
      <c r="H5" s="71"/>
      <c r="I5" s="71"/>
      <c r="J5" s="71"/>
      <c r="K5" s="71"/>
      <c r="L5" s="15"/>
      <c r="M5" s="15"/>
      <c r="N5" s="39"/>
      <c r="O5" s="39"/>
      <c r="P5" s="1"/>
    </row>
    <row r="6" spans="1:16" ht="79.5" thickBot="1" x14ac:dyDescent="0.3">
      <c r="A6" s="53"/>
      <c r="B6" s="83" t="s">
        <v>71</v>
      </c>
      <c r="C6" s="84"/>
      <c r="D6" s="62" t="s">
        <v>95</v>
      </c>
      <c r="E6" s="109"/>
      <c r="F6" s="62" t="s">
        <v>94</v>
      </c>
      <c r="G6" s="62" t="s">
        <v>109</v>
      </c>
      <c r="H6" s="62" t="s">
        <v>127</v>
      </c>
      <c r="I6" s="62" t="s">
        <v>126</v>
      </c>
      <c r="J6" s="62" t="s">
        <v>128</v>
      </c>
      <c r="K6" s="72" t="s">
        <v>52</v>
      </c>
    </row>
    <row r="7" spans="1:16" x14ac:dyDescent="0.25">
      <c r="A7" s="1"/>
      <c r="B7" s="74"/>
      <c r="C7" s="85"/>
    </row>
    <row r="8" spans="1:16" ht="20.25" x14ac:dyDescent="0.3">
      <c r="A8" s="105" t="s">
        <v>0</v>
      </c>
      <c r="B8" s="87">
        <f>SUM(BUDGET!B7)</f>
        <v>9443</v>
      </c>
      <c r="D8" s="78">
        <f>B60</f>
        <v>9759.25</v>
      </c>
      <c r="F8" s="78">
        <v>11597</v>
      </c>
      <c r="G8" s="78">
        <f>D60</f>
        <v>19399.394</v>
      </c>
      <c r="H8" s="78">
        <f>G60</f>
        <v>60880.814000000013</v>
      </c>
      <c r="I8" s="78">
        <v>7524</v>
      </c>
      <c r="J8" s="78">
        <f>H60</f>
        <v>26428.323999999993</v>
      </c>
      <c r="K8" s="78">
        <f>J8-I8</f>
        <v>18904.323999999993</v>
      </c>
    </row>
    <row r="9" spans="1:16" x14ac:dyDescent="0.25">
      <c r="A9" s="1"/>
      <c r="B9" s="87"/>
    </row>
    <row r="10" spans="1:16" x14ac:dyDescent="0.25">
      <c r="A10" s="6"/>
      <c r="B10" s="87"/>
    </row>
    <row r="11" spans="1:16" x14ac:dyDescent="0.25">
      <c r="A11" s="7" t="s">
        <v>2</v>
      </c>
      <c r="B11" s="114">
        <f>SUM(BUDGET!B11)</f>
        <v>45322.789999999994</v>
      </c>
      <c r="D11" s="43">
        <f>SUM(BUDGET!D11)</f>
        <v>36149.99</v>
      </c>
      <c r="F11" s="78">
        <f>SUM(BUDGET!F11)</f>
        <v>33389.54</v>
      </c>
      <c r="G11" s="78">
        <f>SUM(BUDGET!G11)</f>
        <v>7763.2100000000009</v>
      </c>
      <c r="H11" s="78">
        <f>SUM(BUDGET!H11)</f>
        <v>3499.4700000000003</v>
      </c>
      <c r="I11" s="78">
        <f>SUM(BUDGET!I11)</f>
        <v>4900</v>
      </c>
      <c r="J11" s="135">
        <f>SUM(BUDGET!J11)</f>
        <v>4900</v>
      </c>
      <c r="K11" s="78">
        <f t="shared" ref="K11:K18" si="0">J11-I11</f>
        <v>0</v>
      </c>
    </row>
    <row r="12" spans="1:16" x14ac:dyDescent="0.25">
      <c r="A12" s="7" t="s">
        <v>3</v>
      </c>
      <c r="B12" s="114">
        <f>SUM(BUDGET!B12)</f>
        <v>7192.62</v>
      </c>
      <c r="D12" s="43">
        <f>BUDGET!D12</f>
        <v>9047.8700000000008</v>
      </c>
      <c r="F12" s="78">
        <f>BUDGET!F12</f>
        <v>8500</v>
      </c>
      <c r="G12" s="78">
        <f>BUDGET!G12</f>
        <v>7554.95</v>
      </c>
      <c r="H12" s="78">
        <f>BUDGET!H12</f>
        <v>9004.94</v>
      </c>
      <c r="I12" s="78">
        <f>BUDGET!I12</f>
        <v>8500</v>
      </c>
      <c r="J12" s="135">
        <f>BUDGET!J12</f>
        <v>8068.85</v>
      </c>
      <c r="K12" s="78">
        <f t="shared" si="0"/>
        <v>-431.14999999999964</v>
      </c>
    </row>
    <row r="13" spans="1:16" x14ac:dyDescent="0.25">
      <c r="A13" s="7" t="s">
        <v>4</v>
      </c>
      <c r="B13" s="114">
        <f>SUM(BUDGET!B13)</f>
        <v>104991.97</v>
      </c>
      <c r="D13" s="43">
        <f>SUM(BUDGET!D13)</f>
        <v>109632.23000000001</v>
      </c>
      <c r="F13" s="78">
        <f>SUM(BUDGET!F13)</f>
        <v>108330</v>
      </c>
      <c r="G13" s="78">
        <f>SUM(BUDGET!G13)</f>
        <v>217831.97</v>
      </c>
      <c r="H13" s="78">
        <f>SUM(BUDGET!H13)</f>
        <v>156601.68</v>
      </c>
      <c r="I13" s="78">
        <f>SUM(BUDGET!I13)</f>
        <v>190000</v>
      </c>
      <c r="J13" s="78">
        <f>SUM(BUDGET!J13)</f>
        <v>247308.44</v>
      </c>
      <c r="K13" s="78">
        <f t="shared" si="0"/>
        <v>57308.44</v>
      </c>
    </row>
    <row r="14" spans="1:16" x14ac:dyDescent="0.25">
      <c r="A14" s="7" t="s">
        <v>5</v>
      </c>
      <c r="B14" s="114">
        <f>SUM(BUDGET!B15)</f>
        <v>9550.51</v>
      </c>
      <c r="D14" s="43">
        <f>SUM(BUDGET!D15)</f>
        <v>8112.82</v>
      </c>
      <c r="F14" s="78">
        <f>SUM(BUDGET!F15)</f>
        <v>0</v>
      </c>
      <c r="G14" s="78">
        <f>SUM(BUDGET!G15)</f>
        <v>11641.92</v>
      </c>
      <c r="H14" s="78">
        <f>SUM(BUDGET!H15)</f>
        <v>11118.23</v>
      </c>
      <c r="I14" s="78">
        <f>SUM(BUDGET!I15)</f>
        <v>13500</v>
      </c>
      <c r="J14" s="78">
        <f>SUM(BUDGET!J15)</f>
        <v>13500</v>
      </c>
      <c r="K14" s="78">
        <f t="shared" si="0"/>
        <v>0</v>
      </c>
    </row>
    <row r="15" spans="1:16" x14ac:dyDescent="0.25">
      <c r="A15" s="7" t="s">
        <v>108</v>
      </c>
      <c r="B15" s="114"/>
      <c r="D15" s="43"/>
      <c r="I15" s="78">
        <f>BUDGET!I14</f>
        <v>0</v>
      </c>
      <c r="J15" s="78">
        <f>BUDGET!J14</f>
        <v>0</v>
      </c>
      <c r="K15" s="78">
        <f t="shared" si="0"/>
        <v>0</v>
      </c>
    </row>
    <row r="16" spans="1:16" x14ac:dyDescent="0.25">
      <c r="A16" s="7" t="s">
        <v>92</v>
      </c>
      <c r="B16" s="114">
        <f>BUDGET!B16</f>
        <v>278.3</v>
      </c>
      <c r="D16" s="43">
        <f>SUM(BUDGET!D16)</f>
        <v>0</v>
      </c>
      <c r="F16" s="78">
        <f>SUM(BUDGET!F16)</f>
        <v>0</v>
      </c>
      <c r="G16" s="78">
        <f>SUM(BUDGET!G16)</f>
        <v>0</v>
      </c>
      <c r="H16" s="78">
        <f>SUM(BUDGET!H16)</f>
        <v>0</v>
      </c>
      <c r="I16" s="78">
        <f>SUM(BUDGET!I16)</f>
        <v>0</v>
      </c>
      <c r="J16" s="78">
        <f>SUM(BUDGET!J16)</f>
        <v>0</v>
      </c>
      <c r="K16" s="78">
        <f t="shared" si="0"/>
        <v>0</v>
      </c>
    </row>
    <row r="17" spans="1:13" x14ac:dyDescent="0.25">
      <c r="A17" s="7" t="s">
        <v>91</v>
      </c>
      <c r="B17" s="114"/>
      <c r="D17" s="43"/>
      <c r="F17" s="78">
        <f>BUDGET!F17</f>
        <v>1420</v>
      </c>
      <c r="G17" s="78">
        <f>BUDGET!G17</f>
        <v>1820</v>
      </c>
      <c r="H17" s="78">
        <f>BUDGET!H17</f>
        <v>2230</v>
      </c>
      <c r="I17" s="78">
        <f>BUDGET!I17</f>
        <v>2800</v>
      </c>
      <c r="J17" s="78">
        <f>BUDGET!J17</f>
        <v>2800</v>
      </c>
      <c r="K17" s="78">
        <f t="shared" si="0"/>
        <v>0</v>
      </c>
    </row>
    <row r="18" spans="1:13" x14ac:dyDescent="0.25">
      <c r="A18" s="7" t="s">
        <v>6</v>
      </c>
      <c r="B18" s="18">
        <f>BUDGET!B18:B18</f>
        <v>25432.29</v>
      </c>
      <c r="D18" s="43">
        <f>SUM(BUDGET!D18)</f>
        <v>20620</v>
      </c>
      <c r="F18" s="78">
        <f>BUDGET!F18</f>
        <v>24000</v>
      </c>
      <c r="G18" s="78">
        <f>BUDGET!G18</f>
        <v>0</v>
      </c>
      <c r="H18" s="78">
        <f>BUDGET!H18</f>
        <v>20000</v>
      </c>
      <c r="I18" s="78">
        <f>BUDGET!I18</f>
        <v>35000</v>
      </c>
      <c r="J18" s="78">
        <f>BUDGET!J18</f>
        <v>35000</v>
      </c>
      <c r="K18" s="78">
        <f t="shared" si="0"/>
        <v>0</v>
      </c>
    </row>
    <row r="19" spans="1:13" x14ac:dyDescent="0.25">
      <c r="A19" s="1"/>
      <c r="B19" s="58"/>
      <c r="C19" s="85"/>
      <c r="D19" s="43"/>
    </row>
    <row r="20" spans="1:13" x14ac:dyDescent="0.25">
      <c r="A20" s="10" t="s">
        <v>7</v>
      </c>
      <c r="B20" s="17">
        <f>SUM(B11:B19)</f>
        <v>192768.48</v>
      </c>
      <c r="C20" s="80"/>
      <c r="D20" s="17">
        <f>SUM(D11:D19)</f>
        <v>183562.91000000003</v>
      </c>
      <c r="E20" s="80"/>
      <c r="F20" s="79">
        <f t="shared" ref="F20:K20" si="1">SUM(F11:F19)</f>
        <v>175639.54</v>
      </c>
      <c r="G20" s="79">
        <f t="shared" si="1"/>
        <v>246612.05000000002</v>
      </c>
      <c r="H20" s="79">
        <f t="shared" si="1"/>
        <v>202454.32</v>
      </c>
      <c r="I20" s="79">
        <f t="shared" si="1"/>
        <v>254700</v>
      </c>
      <c r="J20" s="79">
        <f t="shared" si="1"/>
        <v>311577.29000000004</v>
      </c>
      <c r="K20" s="79">
        <f t="shared" si="1"/>
        <v>56877.29</v>
      </c>
      <c r="M20" s="43"/>
    </row>
    <row r="21" spans="1:13" x14ac:dyDescent="0.25">
      <c r="A21" s="1"/>
      <c r="B21" s="16"/>
      <c r="D21" s="43"/>
    </row>
    <row r="22" spans="1:13" x14ac:dyDescent="0.25">
      <c r="A22" s="6" t="s">
        <v>8</v>
      </c>
      <c r="B22" s="16"/>
      <c r="D22" s="43"/>
    </row>
    <row r="23" spans="1:13" x14ac:dyDescent="0.25">
      <c r="A23" s="6"/>
      <c r="B23" s="16"/>
      <c r="D23" s="43"/>
    </row>
    <row r="24" spans="1:13" x14ac:dyDescent="0.25">
      <c r="A24" s="7" t="s">
        <v>119</v>
      </c>
      <c r="B24" s="16"/>
      <c r="D24" s="43"/>
      <c r="I24" s="78">
        <f>SUM(BUDGET!I24)</f>
        <v>24046</v>
      </c>
      <c r="J24" s="78">
        <f>SUM(BUDGET!J24)</f>
        <v>30000</v>
      </c>
      <c r="K24" s="78">
        <f t="shared" ref="K24:K56" si="2">J24-I24</f>
        <v>5954</v>
      </c>
    </row>
    <row r="25" spans="1:13" x14ac:dyDescent="0.25">
      <c r="A25" s="7" t="s">
        <v>9</v>
      </c>
      <c r="B25" s="114">
        <f>SUM(BUDGET!B25)</f>
        <v>58372.06</v>
      </c>
      <c r="D25" s="43">
        <f>SUM(BUDGET!D25)</f>
        <v>52326.04</v>
      </c>
      <c r="F25" s="78">
        <f>SUM(BUDGET!F25)</f>
        <v>53500</v>
      </c>
      <c r="G25" s="78">
        <f>SUM(BUDGET!G25)</f>
        <v>49084.17</v>
      </c>
      <c r="H25" s="78">
        <f>SUM(BUDGET!H25)</f>
        <v>73518.259999999995</v>
      </c>
      <c r="I25" s="78">
        <f>SUM(BUDGET!I25)</f>
        <v>51705</v>
      </c>
      <c r="J25" s="78">
        <f>SUM(BUDGET!J25)</f>
        <v>45000</v>
      </c>
      <c r="K25" s="78">
        <f t="shared" si="2"/>
        <v>-6705</v>
      </c>
    </row>
    <row r="26" spans="1:13" x14ac:dyDescent="0.25">
      <c r="A26" s="7" t="s">
        <v>116</v>
      </c>
      <c r="B26" s="114"/>
      <c r="D26" s="43">
        <f>SUM(BUDGET!D26)</f>
        <v>0</v>
      </c>
      <c r="F26" s="78">
        <f>SUM(BUDGET!F29)</f>
        <v>21062.95</v>
      </c>
      <c r="G26" s="78">
        <f>SUM(BUDGET!G26)</f>
        <v>0</v>
      </c>
      <c r="H26" s="78">
        <f>SUM(BUDGET!H26)</f>
        <v>398.18</v>
      </c>
      <c r="I26" s="78">
        <f>SUM(BUDGET!I26)</f>
        <v>0</v>
      </c>
      <c r="J26" s="78">
        <f>SUM(BUDGET!J26)</f>
        <v>0</v>
      </c>
      <c r="K26" s="78">
        <f t="shared" si="2"/>
        <v>0</v>
      </c>
    </row>
    <row r="27" spans="1:13" x14ac:dyDescent="0.25">
      <c r="A27" s="7" t="s">
        <v>12</v>
      </c>
      <c r="B27" s="114">
        <f>SUM(BUDGET!B27)</f>
        <v>132</v>
      </c>
      <c r="D27" s="43">
        <f>SUM(BUDGET!D27)</f>
        <v>11.09</v>
      </c>
      <c r="F27" s="78">
        <f>SUM(BUDGET!F27)</f>
        <v>0</v>
      </c>
      <c r="G27" s="78">
        <f>SUM(BUDGET!G27)</f>
        <v>9175.4599999999991</v>
      </c>
      <c r="H27" s="78">
        <f>SUM(BUDGET!H27)</f>
        <v>1125.07</v>
      </c>
      <c r="I27" s="78">
        <f>SUM(BUDGET!I27)</f>
        <v>1000</v>
      </c>
      <c r="J27" s="78">
        <f>SUM(BUDGET!J27)</f>
        <v>1000</v>
      </c>
      <c r="K27" s="78">
        <f t="shared" si="2"/>
        <v>0</v>
      </c>
    </row>
    <row r="28" spans="1:13" x14ac:dyDescent="0.25">
      <c r="A28" s="7" t="s">
        <v>124</v>
      </c>
      <c r="B28" s="114"/>
      <c r="D28" s="43"/>
      <c r="I28" s="78">
        <f>SUM(BUDGET!I28)</f>
        <v>21750</v>
      </c>
      <c r="J28" s="78">
        <f>SUM(BUDGET!J28)</f>
        <v>21750</v>
      </c>
      <c r="K28" s="78">
        <f t="shared" si="2"/>
        <v>0</v>
      </c>
    </row>
    <row r="29" spans="1:13" x14ac:dyDescent="0.25">
      <c r="A29" s="7" t="s">
        <v>11</v>
      </c>
      <c r="B29" s="114">
        <f>SUM(BUDGET!B29)</f>
        <v>24115.05</v>
      </c>
      <c r="D29" s="43">
        <f>SUM(BUDGET!D29)</f>
        <v>20630</v>
      </c>
      <c r="F29" s="78">
        <f>SUM(BUDGET!F29)</f>
        <v>21062.95</v>
      </c>
      <c r="G29" s="78">
        <f>SUM(BUDGET!G29)</f>
        <v>18643.07</v>
      </c>
      <c r="H29" s="78">
        <f>SUM(BUDGET!H29)</f>
        <v>26190.48</v>
      </c>
      <c r="I29" s="78">
        <f>SUM(BUDGET!I29)</f>
        <v>34201.587800000001</v>
      </c>
      <c r="J29" s="78">
        <f>SUM(BUDGET!J29)</f>
        <v>33872.800000000003</v>
      </c>
      <c r="K29" s="78">
        <f t="shared" si="2"/>
        <v>-328.78779999999824</v>
      </c>
    </row>
    <row r="30" spans="1:13" x14ac:dyDescent="0.25">
      <c r="A30" s="7" t="s">
        <v>10</v>
      </c>
      <c r="B30" s="114">
        <f>BUDGET!B30</f>
        <v>4405.82</v>
      </c>
      <c r="D30" s="43">
        <f>SUM(BUDGET!D30)</f>
        <v>3938.86</v>
      </c>
      <c r="F30" s="78">
        <f>SUM(BUDGET!F30)</f>
        <v>4154.25</v>
      </c>
      <c r="G30" s="78">
        <f>SUM(BUDGET!G30)</f>
        <v>4374.2900000000009</v>
      </c>
      <c r="H30" s="78">
        <f>SUM(BUDGET!H30)</f>
        <v>5658.2300000000005</v>
      </c>
      <c r="I30" s="78">
        <f>SUM(BUDGET!I30)</f>
        <v>5871.4515000000001</v>
      </c>
      <c r="J30" s="78">
        <f>SUM(BUDGET!J30)</f>
        <v>5814</v>
      </c>
      <c r="K30" s="78">
        <f t="shared" si="2"/>
        <v>-57.451500000000124</v>
      </c>
    </row>
    <row r="31" spans="1:13" x14ac:dyDescent="0.25">
      <c r="A31" s="7" t="s">
        <v>59</v>
      </c>
      <c r="B31" s="18">
        <f>BUDGET!B31</f>
        <v>75</v>
      </c>
      <c r="D31" s="43">
        <f>SUM(BUDGET!D31)</f>
        <v>0</v>
      </c>
      <c r="E31" s="77"/>
      <c r="F31" s="78">
        <f>SUM(BUDGET!F31)</f>
        <v>0</v>
      </c>
      <c r="G31" s="78">
        <f>SUM(BUDGET!G31)</f>
        <v>0</v>
      </c>
      <c r="H31" s="78">
        <f>SUM(BUDGET!H31)</f>
        <v>475</v>
      </c>
      <c r="I31" s="78">
        <f>SUM(BUDGET!I31)</f>
        <v>400</v>
      </c>
      <c r="J31" s="78">
        <f>SUM(BUDGET!J31)</f>
        <v>400</v>
      </c>
      <c r="K31" s="78">
        <f t="shared" si="2"/>
        <v>0</v>
      </c>
    </row>
    <row r="32" spans="1:13" x14ac:dyDescent="0.25">
      <c r="A32" s="7" t="s">
        <v>78</v>
      </c>
      <c r="B32" s="18">
        <f>BUDGET!B32</f>
        <v>725</v>
      </c>
      <c r="D32" s="43">
        <f>SUM(BUDGET!D32)</f>
        <v>767.45</v>
      </c>
      <c r="E32" s="77"/>
      <c r="F32" s="78">
        <f>SUM(BUDGET!F32)</f>
        <v>800</v>
      </c>
      <c r="G32" s="78">
        <f>SUM(BUDGET!G32)</f>
        <v>0</v>
      </c>
      <c r="H32" s="78">
        <f>SUM(BUDGET!H32)</f>
        <v>0</v>
      </c>
      <c r="I32" s="78">
        <f>SUM(BUDGET!I32)</f>
        <v>0</v>
      </c>
      <c r="J32" s="78">
        <f>SUM(BUDGET!J32)</f>
        <v>0</v>
      </c>
      <c r="K32" s="78">
        <f t="shared" si="2"/>
        <v>0</v>
      </c>
    </row>
    <row r="33" spans="1:11" x14ac:dyDescent="0.25">
      <c r="A33" s="7" t="s">
        <v>13</v>
      </c>
      <c r="B33" s="114">
        <f>SUM(BUDGET!B33)</f>
        <v>0</v>
      </c>
      <c r="D33" s="43">
        <f>SUM(BUDGET!D33)</f>
        <v>0</v>
      </c>
      <c r="F33" s="78">
        <f>SUM(BUDGET!F33)</f>
        <v>530</v>
      </c>
      <c r="G33" s="78">
        <f>SUM(BUDGET!G33)</f>
        <v>988.65</v>
      </c>
      <c r="H33" s="78">
        <f>SUM(BUDGET!H33)</f>
        <v>324.83999999999997</v>
      </c>
      <c r="I33" s="78">
        <f>SUM(BUDGET!I33)</f>
        <v>330</v>
      </c>
      <c r="J33" s="78">
        <f>SUM(BUDGET!J33)</f>
        <v>330</v>
      </c>
      <c r="K33" s="78">
        <f t="shared" si="2"/>
        <v>0</v>
      </c>
    </row>
    <row r="34" spans="1:11" x14ac:dyDescent="0.25">
      <c r="A34" s="7" t="s">
        <v>14</v>
      </c>
      <c r="B34" s="18">
        <f>BUDGET!B34</f>
        <v>95.57</v>
      </c>
      <c r="D34" s="43">
        <f>SUM(BUDGET!D34)</f>
        <v>378.32</v>
      </c>
      <c r="E34" s="77"/>
      <c r="F34" s="78">
        <f>SUM(BUDGET!F34)</f>
        <v>400</v>
      </c>
      <c r="G34" s="78">
        <f>SUM(BUDGET!G34)</f>
        <v>0</v>
      </c>
      <c r="H34" s="78">
        <f>SUM(BUDGET!H34)</f>
        <v>0</v>
      </c>
      <c r="I34" s="78">
        <f>SUM(BUDGET!I34)</f>
        <v>0</v>
      </c>
      <c r="J34" s="78">
        <f>SUM(BUDGET!J34)</f>
        <v>0</v>
      </c>
      <c r="K34" s="78">
        <f t="shared" si="2"/>
        <v>0</v>
      </c>
    </row>
    <row r="35" spans="1:11" x14ac:dyDescent="0.25">
      <c r="A35" s="7" t="s">
        <v>79</v>
      </c>
      <c r="B35" s="114">
        <f>SUM(BUDGET!B35)</f>
        <v>2285</v>
      </c>
      <c r="D35" s="43">
        <f>SUM(BUDGET!D35)</f>
        <v>130</v>
      </c>
      <c r="F35" s="78">
        <f>SUM(BUDGET!F35)</f>
        <v>500</v>
      </c>
      <c r="G35" s="78">
        <f>SUM(BUDGET!G35)</f>
        <v>694.26</v>
      </c>
      <c r="H35" s="78">
        <f>SUM(BUDGET!H35)</f>
        <v>0</v>
      </c>
      <c r="I35" s="78">
        <f>SUM(BUDGET!I35)</f>
        <v>700</v>
      </c>
      <c r="J35" s="78">
        <f>SUM(BUDGET!J35)</f>
        <v>700</v>
      </c>
      <c r="K35" s="78">
        <f t="shared" si="2"/>
        <v>0</v>
      </c>
    </row>
    <row r="36" spans="1:11" x14ac:dyDescent="0.25">
      <c r="A36" s="7" t="s">
        <v>15</v>
      </c>
      <c r="B36" s="114">
        <f>SUM(BUDGET!B36)</f>
        <v>20173.939999999999</v>
      </c>
      <c r="D36" s="43">
        <f>SUM(BUDGET!D36)</f>
        <v>24109.07</v>
      </c>
      <c r="F36" s="78">
        <f>SUM(BUDGET!F36)</f>
        <v>25500</v>
      </c>
      <c r="G36" s="78">
        <f>SUM(BUDGET!G36)</f>
        <v>23401.02</v>
      </c>
      <c r="H36" s="78">
        <f>SUM(BUDGET!H36)</f>
        <v>31058.39</v>
      </c>
      <c r="I36" s="78">
        <f>SUM(BUDGET!I36)</f>
        <v>29000</v>
      </c>
      <c r="J36" s="78">
        <f>SUM(BUDGET!J36)</f>
        <v>31000</v>
      </c>
      <c r="K36" s="78">
        <f t="shared" si="2"/>
        <v>2000</v>
      </c>
    </row>
    <row r="37" spans="1:11" x14ac:dyDescent="0.25">
      <c r="A37" s="7" t="s">
        <v>16</v>
      </c>
      <c r="B37" s="114">
        <f>SUM(BUDGET!B37)</f>
        <v>63367.99</v>
      </c>
      <c r="D37" s="43">
        <f>SUM(BUDGET!D37)</f>
        <v>57243.095999999998</v>
      </c>
      <c r="F37" s="78">
        <f>SUM(BUDGET!F37)</f>
        <v>61000</v>
      </c>
      <c r="G37" s="78">
        <f>SUM(BUDGET!G37)</f>
        <v>46331.29</v>
      </c>
      <c r="H37" s="78">
        <f>SUM(BUDGET!H37)</f>
        <v>65604.73</v>
      </c>
      <c r="I37" s="78">
        <f>SUM(BUDGET!I37)</f>
        <v>64000</v>
      </c>
      <c r="J37" s="78">
        <f>SUM(BUDGET!J37)</f>
        <v>74000</v>
      </c>
      <c r="K37" s="78">
        <f t="shared" si="2"/>
        <v>10000</v>
      </c>
    </row>
    <row r="38" spans="1:11" x14ac:dyDescent="0.25">
      <c r="A38" s="7" t="s">
        <v>100</v>
      </c>
      <c r="B38" s="114"/>
      <c r="D38" s="43"/>
      <c r="G38" s="78">
        <f>SUM(BUDGET!G38)</f>
        <v>31434.03</v>
      </c>
      <c r="H38" s="78">
        <f>SUM(BUDGET!H38)</f>
        <v>0</v>
      </c>
      <c r="I38" s="78">
        <f>SUM(BUDGET!I38)</f>
        <v>0</v>
      </c>
      <c r="J38" s="78">
        <f>SUM(BUDGET!J38)</f>
        <v>0</v>
      </c>
      <c r="K38" s="78">
        <f t="shared" si="2"/>
        <v>0</v>
      </c>
    </row>
    <row r="39" spans="1:11" x14ac:dyDescent="0.25">
      <c r="A39" s="7" t="s">
        <v>112</v>
      </c>
      <c r="B39" s="114"/>
      <c r="D39" s="43"/>
      <c r="H39" s="78">
        <f>BUDGET!H39</f>
        <v>7846</v>
      </c>
      <c r="I39" s="78">
        <f>SUM(BUDGET!I39)</f>
        <v>0</v>
      </c>
      <c r="J39" s="78">
        <f>SUM(BUDGET!J39)</f>
        <v>0</v>
      </c>
      <c r="K39" s="78">
        <f t="shared" si="2"/>
        <v>0</v>
      </c>
    </row>
    <row r="40" spans="1:11" x14ac:dyDescent="0.25">
      <c r="A40" s="7" t="s">
        <v>17</v>
      </c>
      <c r="B40" s="114">
        <f>SUM(BUDGET!B40)</f>
        <v>6014.56</v>
      </c>
      <c r="D40" s="43">
        <f>SUM(BUDGET!D40)</f>
        <v>5728.04</v>
      </c>
      <c r="F40" s="78">
        <f>SUM(BUDGET!F40)</f>
        <v>6000</v>
      </c>
      <c r="G40" s="78">
        <f>SUM(BUDGET!G40)</f>
        <v>4207.1000000000004</v>
      </c>
      <c r="H40" s="78">
        <f>SUM(BUDGET!H40)</f>
        <v>9494.9699999999993</v>
      </c>
      <c r="I40" s="78">
        <f>SUM(BUDGET!I40)</f>
        <v>8000</v>
      </c>
      <c r="J40" s="78">
        <f>SUM(BUDGET!J40)</f>
        <v>8000</v>
      </c>
      <c r="K40" s="78">
        <f t="shared" si="2"/>
        <v>0</v>
      </c>
    </row>
    <row r="41" spans="1:11" x14ac:dyDescent="0.25">
      <c r="A41" s="7" t="s">
        <v>97</v>
      </c>
      <c r="B41" s="114">
        <f>SUM(BUDGET!B41)</f>
        <v>0</v>
      </c>
      <c r="D41" s="43">
        <f>SUM(BUDGET!D41)</f>
        <v>0</v>
      </c>
      <c r="F41" s="78">
        <f>SUM(BUDGET!F41)</f>
        <v>0</v>
      </c>
      <c r="G41" s="78">
        <f>SUM(BUDGET!G41)</f>
        <v>997.75</v>
      </c>
      <c r="H41" s="78">
        <f>SUM(BUDGET!H41)</f>
        <v>42.97</v>
      </c>
      <c r="I41" s="78">
        <f>SUM(BUDGET!I41)</f>
        <v>600</v>
      </c>
      <c r="J41" s="78">
        <f>SUM(BUDGET!J41)</f>
        <v>600</v>
      </c>
      <c r="K41" s="78">
        <f t="shared" si="2"/>
        <v>0</v>
      </c>
    </row>
    <row r="42" spans="1:11" x14ac:dyDescent="0.25">
      <c r="A42" s="7" t="s">
        <v>20</v>
      </c>
      <c r="B42" s="114">
        <f>SUM(BUDGET!B42)</f>
        <v>9550.51</v>
      </c>
      <c r="D42" s="43">
        <f>SUM(BUDGET!D42)</f>
        <v>8112.82</v>
      </c>
      <c r="F42" s="78">
        <f>SUM(BUDGET!F42)</f>
        <v>0</v>
      </c>
      <c r="G42" s="78">
        <f>SUM(BUDGET!G42)</f>
        <v>11641.92</v>
      </c>
      <c r="H42" s="78">
        <f>SUM(BUDGET!H42)</f>
        <v>11118.23</v>
      </c>
      <c r="I42" s="78">
        <f>SUM(BUDGET!I42)</f>
        <v>13500</v>
      </c>
      <c r="J42" s="78">
        <f>SUM(BUDGET!J42)</f>
        <v>13500</v>
      </c>
      <c r="K42" s="78">
        <f t="shared" si="2"/>
        <v>0</v>
      </c>
    </row>
    <row r="43" spans="1:11" x14ac:dyDescent="0.25">
      <c r="A43" s="7" t="s">
        <v>18</v>
      </c>
      <c r="B43" s="114">
        <f>SUM(BUDGET!B43)</f>
        <v>225</v>
      </c>
      <c r="D43" s="43">
        <f>SUM(BUDGET!D43)</f>
        <v>241</v>
      </c>
      <c r="F43" s="78">
        <f>SUM(BUDGET!F43)</f>
        <v>250</v>
      </c>
      <c r="G43" s="78">
        <f>SUM(BUDGET!G43)</f>
        <v>2514.89</v>
      </c>
      <c r="H43" s="78">
        <f>SUM(BUDGET!H43)</f>
        <v>2809.54</v>
      </c>
      <c r="I43" s="78">
        <f>SUM(BUDGET!I43)</f>
        <v>2810</v>
      </c>
      <c r="J43" s="78">
        <f>SUM(BUDGET!J43)</f>
        <v>3301.7</v>
      </c>
      <c r="K43" s="78">
        <f t="shared" si="2"/>
        <v>491.69999999999982</v>
      </c>
    </row>
    <row r="44" spans="1:11" x14ac:dyDescent="0.25">
      <c r="A44" s="7" t="s">
        <v>98</v>
      </c>
      <c r="B44" s="114">
        <f>SUM(BUDGET!B44)</f>
        <v>0</v>
      </c>
      <c r="D44" s="43">
        <f>SUM(BUDGET!D44)</f>
        <v>0</v>
      </c>
      <c r="F44" s="78">
        <f>SUM(BUDGET!F44)</f>
        <v>0</v>
      </c>
      <c r="G44" s="78">
        <f>SUM(BUDGET!G44)</f>
        <v>256.44</v>
      </c>
      <c r="H44" s="78">
        <f>SUM(BUDGET!H44)</f>
        <v>521.53</v>
      </c>
      <c r="I44" s="78">
        <f>SUM(BUDGET!I44)</f>
        <v>575</v>
      </c>
      <c r="J44" s="78">
        <f>SUM(BUDGET!J44)</f>
        <v>575</v>
      </c>
      <c r="K44" s="78">
        <f t="shared" si="2"/>
        <v>0</v>
      </c>
    </row>
    <row r="45" spans="1:11" x14ac:dyDescent="0.25">
      <c r="A45" s="7" t="s">
        <v>19</v>
      </c>
      <c r="B45" s="114">
        <f>SUM(BUDGET!B45)</f>
        <v>2914.73</v>
      </c>
      <c r="D45" s="43">
        <f>SUM(BUDGET!D45)</f>
        <v>306.98</v>
      </c>
      <c r="F45" s="78">
        <f>SUM(BUDGET!F45)</f>
        <v>420</v>
      </c>
      <c r="G45" s="78">
        <f>SUM(BUDGET!G45)</f>
        <v>198.95</v>
      </c>
      <c r="H45" s="78">
        <f>SUM(BUDGET!H45)</f>
        <v>97.89</v>
      </c>
      <c r="I45" s="78">
        <f>SUM(BUDGET!I45)</f>
        <v>200</v>
      </c>
      <c r="J45" s="78">
        <f>SUM(BUDGET!J45)</f>
        <v>200</v>
      </c>
      <c r="K45" s="78">
        <f t="shared" si="2"/>
        <v>0</v>
      </c>
    </row>
    <row r="46" spans="1:11" x14ac:dyDescent="0.25">
      <c r="A46" s="7" t="s">
        <v>101</v>
      </c>
      <c r="B46" s="57"/>
      <c r="C46" s="16"/>
      <c r="D46" s="81"/>
      <c r="E46" s="81"/>
      <c r="F46" s="81"/>
      <c r="G46" s="81">
        <f>BUDGET!G46</f>
        <v>0</v>
      </c>
      <c r="H46" s="81">
        <f>BUDGET!H46</f>
        <v>0</v>
      </c>
      <c r="I46" s="78">
        <f>SUM(BUDGET!I46)</f>
        <v>0</v>
      </c>
      <c r="J46" s="78">
        <f>SUM(BUDGET!J46)</f>
        <v>0</v>
      </c>
      <c r="K46" s="78">
        <f t="shared" si="2"/>
        <v>0</v>
      </c>
    </row>
    <row r="47" spans="1:11" x14ac:dyDescent="0.25">
      <c r="A47" s="7" t="s">
        <v>135</v>
      </c>
      <c r="B47" s="57"/>
      <c r="C47" s="16"/>
      <c r="D47" s="81"/>
      <c r="E47" s="81"/>
      <c r="F47" s="81"/>
      <c r="G47" s="81"/>
      <c r="H47" s="81">
        <f>BUDGET!H47</f>
        <v>622.5</v>
      </c>
      <c r="K47" s="78">
        <f t="shared" si="2"/>
        <v>0</v>
      </c>
    </row>
    <row r="48" spans="1:11" x14ac:dyDescent="0.25">
      <c r="A48" s="7" t="s">
        <v>102</v>
      </c>
      <c r="B48" s="57"/>
      <c r="C48" s="16"/>
      <c r="D48" s="81"/>
      <c r="E48" s="81"/>
      <c r="F48" s="81"/>
      <c r="G48" s="81">
        <f>BUDGET!G48</f>
        <v>804.18</v>
      </c>
      <c r="H48" s="81">
        <f>BUDGET!H48</f>
        <v>0</v>
      </c>
      <c r="I48" s="78">
        <f>SUM(BUDGET!I47)</f>
        <v>0</v>
      </c>
      <c r="J48" s="78">
        <f>SUM(BUDGET!J47)</f>
        <v>0</v>
      </c>
      <c r="K48" s="78">
        <f t="shared" si="2"/>
        <v>0</v>
      </c>
    </row>
    <row r="49" spans="1:13" x14ac:dyDescent="0.25">
      <c r="A49" s="7" t="s">
        <v>103</v>
      </c>
      <c r="B49" s="57"/>
      <c r="C49" s="16"/>
      <c r="D49" s="81"/>
      <c r="E49" s="81"/>
      <c r="F49" s="81"/>
      <c r="G49" s="81">
        <f>BUDGET!G49</f>
        <v>322.86</v>
      </c>
      <c r="H49" s="81">
        <f>BUDGET!H49</f>
        <v>0</v>
      </c>
      <c r="I49" s="78">
        <f>SUM(BUDGET!I48)</f>
        <v>0</v>
      </c>
      <c r="J49" s="78">
        <f>SUM(BUDGET!J48)</f>
        <v>0</v>
      </c>
      <c r="K49" s="78">
        <f t="shared" si="2"/>
        <v>0</v>
      </c>
    </row>
    <row r="50" spans="1:13" x14ac:dyDescent="0.25">
      <c r="A50" s="7" t="s">
        <v>104</v>
      </c>
      <c r="B50" s="57"/>
      <c r="C50" s="16"/>
      <c r="D50" s="81"/>
      <c r="E50" s="81"/>
      <c r="F50" s="81"/>
      <c r="G50" s="81">
        <f>BUDGET!G50</f>
        <v>60.3</v>
      </c>
      <c r="H50" s="81">
        <f>BUDGET!H50</f>
        <v>0</v>
      </c>
      <c r="I50" s="78">
        <f>SUM(BUDGET!I49)</f>
        <v>0</v>
      </c>
      <c r="J50" s="78">
        <f>SUM(BUDGET!J49)</f>
        <v>0</v>
      </c>
      <c r="K50" s="78">
        <f t="shared" si="2"/>
        <v>0</v>
      </c>
    </row>
    <row r="51" spans="1:13" x14ac:dyDescent="0.25">
      <c r="A51" s="7" t="s">
        <v>133</v>
      </c>
      <c r="B51" s="57"/>
      <c r="C51" s="16"/>
      <c r="D51" s="81"/>
      <c r="E51" s="81"/>
      <c r="F51" s="81"/>
      <c r="G51" s="81"/>
      <c r="H51" s="81"/>
      <c r="J51" s="78">
        <f>BUDGET!J51</f>
        <v>10500</v>
      </c>
      <c r="K51" s="78">
        <f t="shared" si="2"/>
        <v>10500</v>
      </c>
    </row>
    <row r="52" spans="1:13" x14ac:dyDescent="0.25">
      <c r="A52" s="7" t="s">
        <v>134</v>
      </c>
      <c r="B52" s="57"/>
      <c r="C52" s="16"/>
      <c r="D52" s="81"/>
      <c r="E52" s="81"/>
      <c r="F52" s="81"/>
      <c r="G52" s="81"/>
      <c r="H52" s="81"/>
      <c r="J52" s="78">
        <f>BUDGET!J52</f>
        <v>4549</v>
      </c>
      <c r="K52" s="78">
        <f t="shared" si="2"/>
        <v>4549</v>
      </c>
    </row>
    <row r="53" spans="1:13" x14ac:dyDescent="0.25">
      <c r="A53" s="7" t="s">
        <v>133</v>
      </c>
      <c r="B53" s="57"/>
      <c r="C53" s="16"/>
      <c r="D53" s="81"/>
      <c r="E53" s="81"/>
      <c r="F53" s="81"/>
      <c r="G53" s="81"/>
      <c r="H53" s="81"/>
      <c r="J53" s="78">
        <f>BUDGET!J53</f>
        <v>799</v>
      </c>
      <c r="K53" s="78">
        <f t="shared" si="2"/>
        <v>799</v>
      </c>
    </row>
    <row r="54" spans="1:13" x14ac:dyDescent="0.25">
      <c r="A54" s="7" t="s">
        <v>142</v>
      </c>
      <c r="B54" s="57"/>
      <c r="C54" s="16"/>
      <c r="D54" s="81"/>
      <c r="E54" s="81"/>
      <c r="F54" s="81"/>
      <c r="G54" s="81"/>
      <c r="H54" s="81"/>
      <c r="J54" s="78">
        <f>BUDGET!J54</f>
        <v>40000</v>
      </c>
      <c r="K54" s="78">
        <f t="shared" si="2"/>
        <v>40000</v>
      </c>
    </row>
    <row r="55" spans="1:13" x14ac:dyDescent="0.25">
      <c r="A55" s="7" t="s">
        <v>136</v>
      </c>
      <c r="B55" s="114"/>
      <c r="D55" s="43"/>
      <c r="J55" s="78">
        <f>BUDGET!J55</f>
        <v>846.44</v>
      </c>
      <c r="K55" s="78">
        <f t="shared" si="2"/>
        <v>846.44</v>
      </c>
    </row>
    <row r="56" spans="1:13" x14ac:dyDescent="0.25">
      <c r="A56" s="7" t="s">
        <v>137</v>
      </c>
      <c r="B56" s="114"/>
      <c r="D56" s="43"/>
      <c r="J56" s="78">
        <f>BUDGET!J56</f>
        <v>-846.44</v>
      </c>
      <c r="K56" s="78">
        <f t="shared" si="2"/>
        <v>-846.44</v>
      </c>
    </row>
    <row r="57" spans="1:13" x14ac:dyDescent="0.25">
      <c r="A57" s="1"/>
      <c r="B57" s="58"/>
      <c r="C57" s="85"/>
      <c r="D57" s="43"/>
    </row>
    <row r="58" spans="1:13" x14ac:dyDescent="0.25">
      <c r="A58" s="10" t="s">
        <v>22</v>
      </c>
      <c r="B58" s="17">
        <f>SUM(B25:B57)</f>
        <v>192452.23</v>
      </c>
      <c r="C58" s="80"/>
      <c r="D58" s="79">
        <f t="shared" ref="D58:H58" si="3">SUM(D24:D57)</f>
        <v>173922.76600000003</v>
      </c>
      <c r="E58" s="79">
        <f t="shared" si="3"/>
        <v>0</v>
      </c>
      <c r="F58" s="79">
        <f t="shared" si="3"/>
        <v>195180.15</v>
      </c>
      <c r="G58" s="79">
        <f t="shared" si="3"/>
        <v>205130.63</v>
      </c>
      <c r="H58" s="79">
        <f t="shared" si="3"/>
        <v>236906.81000000003</v>
      </c>
      <c r="I58" s="79">
        <f>SUM(I24:I57)</f>
        <v>258689.0393</v>
      </c>
      <c r="J58" s="79">
        <f>SUM(J24:J57)</f>
        <v>325891.5</v>
      </c>
      <c r="K58" s="79">
        <f>SUM(K24:K57)</f>
        <v>67202.460699999996</v>
      </c>
      <c r="M58" s="78"/>
    </row>
    <row r="59" spans="1:13" x14ac:dyDescent="0.25">
      <c r="A59" s="1"/>
      <c r="B59" s="58"/>
      <c r="C59" s="88"/>
      <c r="D59" s="58"/>
      <c r="E59" s="81"/>
      <c r="F59" s="81"/>
      <c r="G59" s="81"/>
      <c r="H59" s="81"/>
      <c r="I59" s="81"/>
      <c r="J59" s="81"/>
      <c r="K59" s="81"/>
    </row>
    <row r="60" spans="1:13" ht="16.5" thickBot="1" x14ac:dyDescent="0.3">
      <c r="A60" s="6" t="s">
        <v>23</v>
      </c>
      <c r="B60" s="115">
        <f>B8+B20-B58</f>
        <v>9759.25</v>
      </c>
      <c r="C60" s="82"/>
      <c r="D60" s="115">
        <f>D8+D20-D58</f>
        <v>19399.394</v>
      </c>
      <c r="E60" s="82"/>
      <c r="F60" s="76">
        <f t="shared" ref="F60:K60" si="4">F8+F20-F58</f>
        <v>-7943.609999999986</v>
      </c>
      <c r="G60" s="76">
        <f t="shared" si="4"/>
        <v>60880.814000000013</v>
      </c>
      <c r="H60" s="76">
        <f t="shared" si="4"/>
        <v>26428.323999999993</v>
      </c>
      <c r="I60" s="76">
        <f t="shared" si="4"/>
        <v>3534.960699999996</v>
      </c>
      <c r="J60" s="76">
        <f>J8+J20-J58</f>
        <v>12114.11400000006</v>
      </c>
      <c r="K60" s="76">
        <f t="shared" si="4"/>
        <v>8579.1533000000054</v>
      </c>
    </row>
    <row r="61" spans="1:13" ht="16.5" thickTop="1" x14ac:dyDescent="0.25">
      <c r="C61" s="85"/>
    </row>
    <row r="62" spans="1:13" x14ac:dyDescent="0.25">
      <c r="A62" s="2" t="s">
        <v>72</v>
      </c>
      <c r="B62" s="117">
        <f>B60/B58</f>
        <v>5.0709986576928726E-2</v>
      </c>
      <c r="C62" s="117"/>
      <c r="D62" s="117">
        <f>D60/D58</f>
        <v>0.11154027989642251</v>
      </c>
      <c r="F62" s="117">
        <f>F60/F58</f>
        <v>-4.0698862051289468E-2</v>
      </c>
      <c r="G62" s="117">
        <f>G60/G58</f>
        <v>0.29679045981577695</v>
      </c>
      <c r="H62" s="117">
        <f>H60/H58</f>
        <v>0.11155578009766789</v>
      </c>
      <c r="I62" s="117">
        <f>I60/I58</f>
        <v>1.3664903273696591E-2</v>
      </c>
      <c r="J62" s="117">
        <f>J60/J58</f>
        <v>3.7172230635042824E-2</v>
      </c>
    </row>
  </sheetData>
  <mergeCells count="4">
    <mergeCell ref="A1:M1"/>
    <mergeCell ref="A3:M3"/>
    <mergeCell ref="A4:M4"/>
    <mergeCell ref="A2:M2"/>
  </mergeCells>
  <pageMargins left="1" right="1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80"/>
  <sheetViews>
    <sheetView zoomScaleNormal="100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J14" sqref="J14"/>
    </sheetView>
  </sheetViews>
  <sheetFormatPr defaultRowHeight="15.75" x14ac:dyDescent="0.25"/>
  <cols>
    <col min="1" max="1" width="48.5703125" style="2" customWidth="1"/>
    <col min="2" max="2" width="14.7109375" style="18" hidden="1" customWidth="1"/>
    <col min="3" max="3" width="3.140625" style="42" hidden="1" customWidth="1"/>
    <col min="4" max="4" width="14.7109375" style="78" customWidth="1"/>
    <col min="5" max="5" width="1.7109375" style="78" customWidth="1"/>
    <col min="6" max="6" width="15.85546875" style="78" hidden="1" customWidth="1"/>
    <col min="7" max="8" width="15.85546875" style="78" customWidth="1"/>
    <col min="9" max="9" width="13.7109375" style="78" bestFit="1" customWidth="1"/>
    <col min="10" max="10" width="15.85546875" style="78" customWidth="1"/>
    <col min="11" max="11" width="14.7109375" style="78" customWidth="1"/>
    <col min="12" max="12" width="9.140625" style="42"/>
    <col min="13" max="13" width="9.85546875" style="42" bestFit="1" customWidth="1"/>
    <col min="14" max="16384" width="9.140625" style="42"/>
  </cols>
  <sheetData>
    <row r="1" spans="1:16384" s="2" customFormat="1" x14ac:dyDescent="0.25">
      <c r="A1" s="147" t="str">
        <f>SUMMARY!A1</f>
        <v>LITCHFIELD COMMUNITY SCHOOLS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"/>
    </row>
    <row r="2" spans="1:16384" s="2" customFormat="1" x14ac:dyDescent="0.25">
      <c r="A2" s="147" t="str">
        <f>SUMMARY!A3</f>
        <v>BUDGET 2021-2022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"/>
    </row>
    <row r="3" spans="1:16384" s="41" customFormat="1" x14ac:dyDescent="0.25">
      <c r="A3" s="149" t="str">
        <f>SUMMARY!A4</f>
        <v>AMENDED 4/26/2022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40"/>
    </row>
    <row r="4" spans="1:16384" s="2" customFormat="1" x14ac:dyDescent="0.25">
      <c r="A4" s="19"/>
      <c r="B4" s="15"/>
      <c r="C4" s="19"/>
      <c r="D4" s="71"/>
      <c r="E4" s="71"/>
      <c r="F4" s="71"/>
      <c r="G4" s="71"/>
      <c r="H4" s="71"/>
      <c r="I4" s="71"/>
      <c r="J4" s="71"/>
      <c r="K4" s="71"/>
      <c r="L4" s="1"/>
    </row>
    <row r="5" spans="1:16384" ht="78.75" x14ac:dyDescent="0.25">
      <c r="A5" s="53"/>
      <c r="B5" s="4" t="str">
        <f>SUMMARY!B6</f>
        <v>2017-2018 Actual Revenue and Expenses</v>
      </c>
      <c r="C5" s="52"/>
      <c r="D5" s="64" t="str">
        <f>SUMMARY!D6</f>
        <v>2018-2019 Actual Revenue and Expenses</v>
      </c>
      <c r="E5" s="110"/>
      <c r="F5" s="64" t="str">
        <f>SUMMARY!F6</f>
        <v>2019-2020 BUDGET</v>
      </c>
      <c r="G5" s="64" t="str">
        <f>SUMMARY!G6</f>
        <v>2019-2020 Actual Revenue and Expenses</v>
      </c>
      <c r="H5" s="64" t="str">
        <f>SUMMARY!H6</f>
        <v>2020-2021 Actual Revenue and Expenses</v>
      </c>
      <c r="I5" s="64" t="str">
        <f>SUMMARY!I6</f>
        <v>Approved 2021-2022 Budget</v>
      </c>
      <c r="J5" s="64" t="str">
        <f>SUMMARY!J6</f>
        <v>Ammended in Progress 2021-2022 Budget</v>
      </c>
      <c r="K5" s="72" t="s">
        <v>52</v>
      </c>
    </row>
    <row r="6" spans="1:16384" x14ac:dyDescent="0.25">
      <c r="A6" s="1"/>
      <c r="B6" s="16"/>
    </row>
    <row r="7" spans="1:16384" ht="20.25" x14ac:dyDescent="0.3">
      <c r="A7" s="105"/>
      <c r="B7" s="45">
        <f>WORKSHEET!C7</f>
        <v>9443</v>
      </c>
      <c r="D7" s="78">
        <f>B60</f>
        <v>9759.25</v>
      </c>
      <c r="F7" s="78">
        <v>11597</v>
      </c>
      <c r="G7" s="78">
        <f>D60</f>
        <v>19399.394</v>
      </c>
      <c r="H7" s="78">
        <f>G60</f>
        <v>60880.814000000013</v>
      </c>
      <c r="I7" s="78">
        <f>WORKSHEET!J7</f>
        <v>7524</v>
      </c>
      <c r="J7" s="78">
        <f>H60</f>
        <v>26428.323999999993</v>
      </c>
      <c r="K7" s="78">
        <f>J7-I7</f>
        <v>18904.323999999993</v>
      </c>
    </row>
    <row r="8" spans="1:16384" x14ac:dyDescent="0.25">
      <c r="A8" s="1"/>
      <c r="B8" s="16"/>
    </row>
    <row r="9" spans="1:16384" ht="20.25" x14ac:dyDescent="0.3">
      <c r="A9" s="105" t="s">
        <v>68</v>
      </c>
      <c r="B9" s="16"/>
    </row>
    <row r="10" spans="1:16384" x14ac:dyDescent="0.25">
      <c r="A10" s="6"/>
      <c r="B10" s="16"/>
    </row>
    <row r="11" spans="1:16384" x14ac:dyDescent="0.25">
      <c r="A11" s="7" t="s">
        <v>2</v>
      </c>
      <c r="B11" s="44">
        <f>WORKSHEET!C12+WORKSHEET!C13+WORKSHEET!C14+WORKSHEET!C15+WORKSHEET!C16+WORKSHEET!C18</f>
        <v>45322.789999999994</v>
      </c>
      <c r="D11" s="44">
        <f>WORKSHEET!E12+WORKSHEET!E13+WORKSHEET!E14+WORKSHEET!E16+WORKSHEET!E17+WORKSHEET!E18+WORKSHEET!E20+WORKSHEET!E15</f>
        <v>36149.99</v>
      </c>
      <c r="E11" s="44"/>
      <c r="F11" s="44">
        <f>WORKSHEET!G12+WORKSHEET!G13+WORKSHEET!G14+WORKSHEET!G16+WORKSHEET!G17+WORKSHEET!G18+WORKSHEET!G20+WORKSHEET!G15</f>
        <v>33389.54</v>
      </c>
      <c r="G11" s="44">
        <f>WORKSHEET!H12+WORKSHEET!H13+WORKSHEET!H14+WORKSHEET!H16+WORKSHEET!H17+WORKSHEET!H18+WORKSHEET!H20+WORKSHEET!H15</f>
        <v>7763.2100000000009</v>
      </c>
      <c r="H11" s="44">
        <f>WORKSHEET!I13+WORKSHEET!I14+WORKSHEET!I15+WORKSHEET!I16+WORKSHEET!I17+WORKSHEET!I18+WORKSHEET!I19</f>
        <v>3499.4700000000003</v>
      </c>
      <c r="I11" s="87">
        <f>WORKSHEET!J12+WORKSHEET!J13+WORKSHEET!J14+WORKSHEET!J16+WORKSHEET!J17+WORKSHEET!J18+WORKSHEET!J20+WORKSHEET!J15</f>
        <v>4900</v>
      </c>
      <c r="J11" s="87">
        <f>WORKSHEET!K12+WORKSHEET!K13+WORKSHEET!K14+WORKSHEET!K16+WORKSHEET!K17+WORKSHEET!K18+WORKSHEET!K20+WORKSHEET!K15</f>
        <v>4900</v>
      </c>
      <c r="K11" s="78">
        <f t="shared" ref="K11:K18" si="0">J11-I11</f>
        <v>0</v>
      </c>
    </row>
    <row r="12" spans="1:16384" x14ac:dyDescent="0.25">
      <c r="A12" s="7" t="s">
        <v>3</v>
      </c>
      <c r="B12" s="44">
        <f>WORKSHEET!C21</f>
        <v>7192.62</v>
      </c>
      <c r="D12" s="44">
        <f>WORKSHEET!E21</f>
        <v>9047.8700000000008</v>
      </c>
      <c r="E12" s="44"/>
      <c r="F12" s="44">
        <f>WORKSHEET!G21</f>
        <v>8500</v>
      </c>
      <c r="G12" s="44">
        <f>WORKSHEET!H21</f>
        <v>7554.95</v>
      </c>
      <c r="H12" s="44">
        <f>WORKSHEET!I21+WORKSHEET!I20+WORKSHEET!I22</f>
        <v>9004.94</v>
      </c>
      <c r="I12" s="87">
        <f>WORKSHEET!J21</f>
        <v>8500</v>
      </c>
      <c r="J12" s="87">
        <f>WORKSHEET!K21</f>
        <v>8068.85</v>
      </c>
      <c r="K12" s="78">
        <f t="shared" si="0"/>
        <v>-431.14999999999964</v>
      </c>
    </row>
    <row r="13" spans="1:16384" x14ac:dyDescent="0.25">
      <c r="A13" s="7" t="s">
        <v>4</v>
      </c>
      <c r="B13" s="44">
        <f>WORKSHEET!C26+WORKSHEET!C27</f>
        <v>104991.97</v>
      </c>
      <c r="D13" s="44">
        <f>WORKSHEET!E26+WORKSHEET!E27</f>
        <v>109632.23000000001</v>
      </c>
      <c r="E13" s="44"/>
      <c r="F13" s="44">
        <f>WORKSHEET!G26+WORKSHEET!G27+WORKSHEET!G56</f>
        <v>108330</v>
      </c>
      <c r="G13" s="44">
        <f>WORKSHEET!H26+WORKSHEET!H27+WORKSHEET!H28</f>
        <v>217831.97</v>
      </c>
      <c r="H13" s="44">
        <f>WORKSHEET!I25+WORKSHEET!I26+WORKSHEET!I27+WORKSHEET!I28+WORKSHEET!I30</f>
        <v>156601.68</v>
      </c>
      <c r="I13" s="87">
        <f>WORKSHEET!J26+WORKSHEET!J27+WORKSHEET!J28</f>
        <v>190000</v>
      </c>
      <c r="J13" s="87">
        <f>WORKSHEET!K26+WORKSHEET!K27+WORKSHEET!K28+WORKSHEET!K23+WORKSHEET!K24+WORKSHEET!K33</f>
        <v>247308.44</v>
      </c>
      <c r="K13" s="78">
        <f t="shared" si="0"/>
        <v>57308.44</v>
      </c>
    </row>
    <row r="14" spans="1:16384" x14ac:dyDescent="0.25">
      <c r="A14" s="7" t="s">
        <v>108</v>
      </c>
      <c r="B14" s="44"/>
      <c r="D14" s="44"/>
      <c r="E14" s="44"/>
      <c r="F14" s="44"/>
      <c r="G14" s="44"/>
      <c r="H14" s="44"/>
      <c r="I14" s="87">
        <f>WORKSHEET!J29</f>
        <v>0</v>
      </c>
      <c r="J14" s="87">
        <f>WORKSHEET!K29</f>
        <v>0</v>
      </c>
      <c r="K14" s="78">
        <f t="shared" si="0"/>
        <v>0</v>
      </c>
    </row>
    <row r="15" spans="1:16384" x14ac:dyDescent="0.25">
      <c r="A15" s="7" t="s">
        <v>5</v>
      </c>
      <c r="B15" s="44">
        <f>WORKSHEET!C31</f>
        <v>9550.51</v>
      </c>
      <c r="D15" s="44">
        <f>WORKSHEET!E31</f>
        <v>8112.82</v>
      </c>
      <c r="E15" s="44"/>
      <c r="F15" s="44">
        <f>WORKSHEET!G31</f>
        <v>0</v>
      </c>
      <c r="G15" s="44">
        <f>WORKSHEET!H31</f>
        <v>11641.92</v>
      </c>
      <c r="H15" s="44">
        <f>WORKSHEET!I31+WORKSHEET!I32</f>
        <v>11118.23</v>
      </c>
      <c r="I15" s="87">
        <f>WORKSHEET!J31</f>
        <v>13500</v>
      </c>
      <c r="J15" s="87">
        <f>WORKSHEET!K31</f>
        <v>13500</v>
      </c>
      <c r="K15" s="78">
        <f t="shared" si="0"/>
        <v>0</v>
      </c>
    </row>
    <row r="16" spans="1:16384" x14ac:dyDescent="0.25">
      <c r="A16" s="7" t="s">
        <v>70</v>
      </c>
      <c r="B16" s="116">
        <f>WORKSHEET!C36+WORKSHEET!C20</f>
        <v>278.3</v>
      </c>
      <c r="C16" s="7"/>
      <c r="D16" s="44">
        <f>WORKSHEET!E36</f>
        <v>0</v>
      </c>
      <c r="E16" s="44"/>
      <c r="F16" s="44">
        <f>WORKSHEET!G36</f>
        <v>0</v>
      </c>
      <c r="G16" s="44">
        <f>WORKSHEET!H36</f>
        <v>0</v>
      </c>
      <c r="H16" s="44">
        <f>WORKSHEET!I36</f>
        <v>0</v>
      </c>
      <c r="I16" s="87">
        <f>WORKSHEET!J36</f>
        <v>0</v>
      </c>
      <c r="J16" s="87">
        <f>WORKSHEET!K36</f>
        <v>0</v>
      </c>
      <c r="K16" s="78">
        <f t="shared" si="0"/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16384" x14ac:dyDescent="0.25">
      <c r="A17" s="7" t="s">
        <v>91</v>
      </c>
      <c r="B17" s="116"/>
      <c r="C17" s="7"/>
      <c r="D17" s="44"/>
      <c r="E17" s="44"/>
      <c r="F17" s="44">
        <f>WORKSHEET!G34</f>
        <v>1420</v>
      </c>
      <c r="G17" s="44">
        <f>WORKSHEET!H34</f>
        <v>1820</v>
      </c>
      <c r="H17" s="44">
        <f>WORKSHEET!I34</f>
        <v>2230</v>
      </c>
      <c r="I17" s="87">
        <f>WORKSHEET!J34</f>
        <v>2800</v>
      </c>
      <c r="J17" s="87">
        <f>WORKSHEET!K34</f>
        <v>2800</v>
      </c>
      <c r="K17" s="78">
        <f t="shared" si="0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16384" x14ac:dyDescent="0.25">
      <c r="A18" s="7" t="s">
        <v>6</v>
      </c>
      <c r="B18" s="44">
        <f>WORKSHEET!C35+WORKSHEET!C34</f>
        <v>25432.29</v>
      </c>
      <c r="C18" s="44"/>
      <c r="D18" s="44">
        <f>WORKSHEET!E35+WORKSHEET!E34</f>
        <v>20620</v>
      </c>
      <c r="E18" s="44"/>
      <c r="F18" s="44">
        <f>WORKSHEET!G35</f>
        <v>24000</v>
      </c>
      <c r="G18" s="44">
        <f>WORKSHEET!H35</f>
        <v>0</v>
      </c>
      <c r="H18" s="44">
        <f>WORKSHEET!I35</f>
        <v>20000</v>
      </c>
      <c r="I18" s="87">
        <f>WORKSHEET!J35</f>
        <v>35000</v>
      </c>
      <c r="J18" s="87">
        <f>WORKSHEET!K35</f>
        <v>35000</v>
      </c>
      <c r="K18" s="78">
        <f t="shared" si="0"/>
        <v>0</v>
      </c>
    </row>
    <row r="19" spans="1:16384" x14ac:dyDescent="0.25">
      <c r="A19" s="1"/>
      <c r="B19" s="16"/>
    </row>
    <row r="20" spans="1:16384" x14ac:dyDescent="0.25">
      <c r="A20" s="10" t="s">
        <v>7</v>
      </c>
      <c r="B20" s="17">
        <f>SUM(B11:B19)</f>
        <v>192768.48</v>
      </c>
      <c r="D20" s="79">
        <f>SUM(D11:D19)</f>
        <v>183562.91000000003</v>
      </c>
      <c r="E20" s="80"/>
      <c r="F20" s="79">
        <f t="shared" ref="F20:K20" si="1">SUM(F11:F19)</f>
        <v>175639.54</v>
      </c>
      <c r="G20" s="79">
        <f t="shared" si="1"/>
        <v>246612.05000000002</v>
      </c>
      <c r="H20" s="79">
        <f t="shared" si="1"/>
        <v>202454.32</v>
      </c>
      <c r="I20" s="79">
        <f t="shared" si="1"/>
        <v>254700</v>
      </c>
      <c r="J20" s="79">
        <f t="shared" ref="J20" si="2">SUM(J11:J19)</f>
        <v>311577.29000000004</v>
      </c>
      <c r="K20" s="79">
        <f t="shared" si="1"/>
        <v>56877.29</v>
      </c>
      <c r="M20" s="78"/>
    </row>
    <row r="21" spans="1:16384" x14ac:dyDescent="0.25">
      <c r="A21" s="1"/>
      <c r="B21" s="16"/>
    </row>
    <row r="22" spans="1:16384" x14ac:dyDescent="0.25">
      <c r="A22" s="6" t="s">
        <v>8</v>
      </c>
      <c r="B22" s="16"/>
    </row>
    <row r="23" spans="1:16384" x14ac:dyDescent="0.25">
      <c r="A23" s="6"/>
      <c r="B23" s="45"/>
    </row>
    <row r="24" spans="1:16384" x14ac:dyDescent="0.25">
      <c r="A24" s="7" t="s">
        <v>119</v>
      </c>
      <c r="B24" s="45"/>
      <c r="I24" s="87">
        <f>WORKSHEET!J42</f>
        <v>24046</v>
      </c>
      <c r="J24" s="87">
        <f>WORKSHEET!K42</f>
        <v>30000</v>
      </c>
      <c r="K24" s="78">
        <f>J24-I24</f>
        <v>5954</v>
      </c>
    </row>
    <row r="25" spans="1:16384" x14ac:dyDescent="0.25">
      <c r="A25" s="7" t="s">
        <v>9</v>
      </c>
      <c r="B25" s="44">
        <f>WORKSHEET!C43</f>
        <v>58372.06</v>
      </c>
      <c r="D25" s="44">
        <f>WORKSHEET!E43</f>
        <v>52326.04</v>
      </c>
      <c r="E25" s="44"/>
      <c r="F25" s="44">
        <f>WORKSHEET!G43</f>
        <v>53500</v>
      </c>
      <c r="G25" s="44">
        <f>WORKSHEET!H43</f>
        <v>49084.17</v>
      </c>
      <c r="H25" s="44">
        <f>WORKSHEET!I43</f>
        <v>73518.259999999995</v>
      </c>
      <c r="I25" s="87">
        <f>WORKSHEET!J43</f>
        <v>51705</v>
      </c>
      <c r="J25" s="87">
        <f>WORKSHEET!K43</f>
        <v>45000</v>
      </c>
      <c r="K25" s="78">
        <f t="shared" ref="K25:K56" si="3">J25-I25</f>
        <v>-6705</v>
      </c>
    </row>
    <row r="26" spans="1:16384" x14ac:dyDescent="0.25">
      <c r="A26" s="7" t="s">
        <v>116</v>
      </c>
      <c r="B26" s="7" t="s">
        <v>116</v>
      </c>
      <c r="D26" s="44"/>
      <c r="E26" s="44"/>
      <c r="F26" s="44"/>
      <c r="G26" s="44"/>
      <c r="H26" s="44">
        <f>WORKSHEET!I44</f>
        <v>398.18</v>
      </c>
      <c r="I26" s="87">
        <f>WORKSHEET!J44</f>
        <v>0</v>
      </c>
      <c r="J26" s="87">
        <f>WORKSHEET!K44</f>
        <v>0</v>
      </c>
      <c r="K26" s="78">
        <f t="shared" si="3"/>
        <v>0</v>
      </c>
    </row>
    <row r="27" spans="1:16384" x14ac:dyDescent="0.25">
      <c r="A27" s="7" t="s">
        <v>12</v>
      </c>
      <c r="B27" s="44">
        <f>WORKSHEET!C45</f>
        <v>132</v>
      </c>
      <c r="D27" s="44">
        <f>WORKSHEET!E45</f>
        <v>11.09</v>
      </c>
      <c r="E27" s="44"/>
      <c r="F27" s="44">
        <f>WORKSHEET!G45</f>
        <v>0</v>
      </c>
      <c r="G27" s="44">
        <f>WORKSHEET!H45</f>
        <v>9175.4599999999991</v>
      </c>
      <c r="H27" s="44">
        <f>WORKSHEET!I45</f>
        <v>1125.07</v>
      </c>
      <c r="I27" s="87">
        <f>WORKSHEET!J45</f>
        <v>1000</v>
      </c>
      <c r="J27" s="87">
        <f>WORKSHEET!K45</f>
        <v>1000</v>
      </c>
      <c r="K27" s="78">
        <f t="shared" si="3"/>
        <v>0</v>
      </c>
    </row>
    <row r="28" spans="1:16384" x14ac:dyDescent="0.25">
      <c r="A28" s="7" t="s">
        <v>118</v>
      </c>
      <c r="B28" s="44"/>
      <c r="D28" s="44"/>
      <c r="E28" s="44"/>
      <c r="F28" s="44"/>
      <c r="G28" s="44"/>
      <c r="H28" s="44"/>
      <c r="I28" s="87">
        <f>WORKSHEET!J46</f>
        <v>21750</v>
      </c>
      <c r="J28" s="87">
        <f>WORKSHEET!K46</f>
        <v>21750</v>
      </c>
      <c r="K28" s="78">
        <f t="shared" si="3"/>
        <v>0</v>
      </c>
    </row>
    <row r="29" spans="1:16384" x14ac:dyDescent="0.25">
      <c r="A29" s="7" t="s">
        <v>11</v>
      </c>
      <c r="B29" s="44">
        <f>WORKSHEET!C47</f>
        <v>24115.05</v>
      </c>
      <c r="D29" s="44">
        <f>WORKSHEET!E47</f>
        <v>20630</v>
      </c>
      <c r="E29" s="44"/>
      <c r="F29" s="44">
        <f>WORKSHEET!G47</f>
        <v>21062.95</v>
      </c>
      <c r="G29" s="44">
        <f>WORKSHEET!H47</f>
        <v>18643.07</v>
      </c>
      <c r="H29" s="44">
        <f>WORKSHEET!I47</f>
        <v>26190.48</v>
      </c>
      <c r="I29" s="87">
        <f>WORKSHEET!J47</f>
        <v>34201.587800000001</v>
      </c>
      <c r="J29" s="87">
        <f>WORKSHEET!K47</f>
        <v>33872.800000000003</v>
      </c>
      <c r="K29" s="78">
        <f t="shared" si="3"/>
        <v>-328.78779999999824</v>
      </c>
    </row>
    <row r="30" spans="1:16384" x14ac:dyDescent="0.25">
      <c r="A30" s="7" t="s">
        <v>10</v>
      </c>
      <c r="B30" s="44">
        <f>WORKSHEET!C48</f>
        <v>4405.82</v>
      </c>
      <c r="D30" s="44">
        <f>WORKSHEET!E48</f>
        <v>3938.86</v>
      </c>
      <c r="E30" s="44"/>
      <c r="F30" s="44">
        <f>WORKSHEET!G48</f>
        <v>4154.25</v>
      </c>
      <c r="G30" s="44">
        <f>WORKSHEET!H48</f>
        <v>4374.2900000000009</v>
      </c>
      <c r="H30" s="44">
        <f>WORKSHEET!I48</f>
        <v>5658.2300000000005</v>
      </c>
      <c r="I30" s="87">
        <f>WORKSHEET!J48</f>
        <v>5871.4515000000001</v>
      </c>
      <c r="J30" s="87">
        <f>WORKSHEET!K48</f>
        <v>5814</v>
      </c>
      <c r="K30" s="78">
        <f t="shared" si="3"/>
        <v>-57.451500000000124</v>
      </c>
    </row>
    <row r="31" spans="1:16384" x14ac:dyDescent="0.25">
      <c r="A31" s="7" t="s">
        <v>59</v>
      </c>
      <c r="B31" s="44">
        <f>WORKSHEET!C51</f>
        <v>75</v>
      </c>
      <c r="D31" s="44">
        <f>WORKSHEET!E51</f>
        <v>0</v>
      </c>
      <c r="E31" s="44"/>
      <c r="F31" s="44">
        <f>WORKSHEET!G51</f>
        <v>0</v>
      </c>
      <c r="G31" s="44">
        <f>WORKSHEET!H51</f>
        <v>0</v>
      </c>
      <c r="H31" s="44">
        <f>WORKSHEET!I51</f>
        <v>475</v>
      </c>
      <c r="I31" s="87">
        <f>WORKSHEET!J51</f>
        <v>400</v>
      </c>
      <c r="J31" s="87">
        <f>WORKSHEET!K51</f>
        <v>400</v>
      </c>
      <c r="K31" s="78">
        <f t="shared" si="3"/>
        <v>0</v>
      </c>
    </row>
    <row r="32" spans="1:16384" x14ac:dyDescent="0.25">
      <c r="A32" s="7" t="s">
        <v>78</v>
      </c>
      <c r="B32" s="44">
        <f>WORKSHEET!C49</f>
        <v>725</v>
      </c>
      <c r="D32" s="44">
        <f>WORKSHEET!E49</f>
        <v>767.45</v>
      </c>
      <c r="E32" s="44"/>
      <c r="F32" s="44">
        <f>WORKSHEET!G49</f>
        <v>800</v>
      </c>
      <c r="G32" s="44">
        <f>WORKSHEET!H49</f>
        <v>0</v>
      </c>
      <c r="H32" s="44">
        <f>WORKSHEET!I49</f>
        <v>0</v>
      </c>
      <c r="I32" s="87">
        <f>WORKSHEET!J49</f>
        <v>0</v>
      </c>
      <c r="J32" s="87">
        <f>WORKSHEET!K49</f>
        <v>0</v>
      </c>
      <c r="K32" s="78">
        <f t="shared" si="3"/>
        <v>0</v>
      </c>
    </row>
    <row r="33" spans="1:11" x14ac:dyDescent="0.25">
      <c r="A33" s="7" t="s">
        <v>13</v>
      </c>
      <c r="B33" s="44">
        <f>WORKSHEET!C50</f>
        <v>0</v>
      </c>
      <c r="D33" s="44">
        <f>WORKSHEET!E50</f>
        <v>0</v>
      </c>
      <c r="E33" s="44"/>
      <c r="F33" s="44">
        <f>WORKSHEET!G50</f>
        <v>530</v>
      </c>
      <c r="G33" s="44">
        <f>WORKSHEET!H50</f>
        <v>988.65</v>
      </c>
      <c r="H33" s="44">
        <f>WORKSHEET!I50</f>
        <v>324.83999999999997</v>
      </c>
      <c r="I33" s="87">
        <f>WORKSHEET!J50</f>
        <v>330</v>
      </c>
      <c r="J33" s="87">
        <f>WORKSHEET!K50</f>
        <v>330</v>
      </c>
      <c r="K33" s="78">
        <f t="shared" si="3"/>
        <v>0</v>
      </c>
    </row>
    <row r="34" spans="1:11" x14ac:dyDescent="0.25">
      <c r="A34" s="7" t="s">
        <v>14</v>
      </c>
      <c r="B34" s="44">
        <f>WORKSHEET!C52</f>
        <v>95.57</v>
      </c>
      <c r="D34" s="44">
        <f>WORKSHEET!E52</f>
        <v>378.32</v>
      </c>
      <c r="E34" s="44"/>
      <c r="F34" s="44">
        <f>WORKSHEET!G52</f>
        <v>400</v>
      </c>
      <c r="G34" s="44">
        <f>WORKSHEET!H52</f>
        <v>0</v>
      </c>
      <c r="H34" s="44">
        <f>WORKSHEET!I52</f>
        <v>0</v>
      </c>
      <c r="I34" s="87">
        <f>WORKSHEET!J52</f>
        <v>0</v>
      </c>
      <c r="J34" s="87">
        <f>WORKSHEET!K52</f>
        <v>0</v>
      </c>
      <c r="K34" s="78">
        <f t="shared" si="3"/>
        <v>0</v>
      </c>
    </row>
    <row r="35" spans="1:11" x14ac:dyDescent="0.25">
      <c r="A35" s="7" t="s">
        <v>79</v>
      </c>
      <c r="B35" s="44">
        <f>WORKSHEET!C53</f>
        <v>2285</v>
      </c>
      <c r="D35" s="44">
        <f>WORKSHEET!E53</f>
        <v>130</v>
      </c>
      <c r="E35" s="44"/>
      <c r="F35" s="44">
        <f>WORKSHEET!G53</f>
        <v>500</v>
      </c>
      <c r="G35" s="44">
        <f>WORKSHEET!H53</f>
        <v>694.26</v>
      </c>
      <c r="H35" s="44">
        <f>WORKSHEET!I53</f>
        <v>0</v>
      </c>
      <c r="I35" s="87">
        <f>WORKSHEET!J53</f>
        <v>700</v>
      </c>
      <c r="J35" s="87">
        <f>WORKSHEET!K53</f>
        <v>700</v>
      </c>
      <c r="K35" s="78">
        <f t="shared" si="3"/>
        <v>0</v>
      </c>
    </row>
    <row r="36" spans="1:11" x14ac:dyDescent="0.25">
      <c r="A36" s="7" t="s">
        <v>15</v>
      </c>
      <c r="B36" s="44">
        <f>WORKSHEET!C54</f>
        <v>20173.939999999999</v>
      </c>
      <c r="D36" s="44">
        <f>WORKSHEET!E54</f>
        <v>24109.07</v>
      </c>
      <c r="E36" s="44"/>
      <c r="F36" s="44">
        <f>WORKSHEET!G54</f>
        <v>25500</v>
      </c>
      <c r="G36" s="44">
        <f>WORKSHEET!H54</f>
        <v>23401.02</v>
      </c>
      <c r="H36" s="44">
        <f>WORKSHEET!I54</f>
        <v>31058.39</v>
      </c>
      <c r="I36" s="87">
        <f>WORKSHEET!J54</f>
        <v>29000</v>
      </c>
      <c r="J36" s="87">
        <f>WORKSHEET!K54</f>
        <v>31000</v>
      </c>
      <c r="K36" s="78">
        <f t="shared" si="3"/>
        <v>2000</v>
      </c>
    </row>
    <row r="37" spans="1:11" x14ac:dyDescent="0.25">
      <c r="A37" s="7" t="s">
        <v>16</v>
      </c>
      <c r="B37" s="44">
        <f>WORKSHEET!C55</f>
        <v>63367.99</v>
      </c>
      <c r="D37" s="44">
        <f>WORKSHEET!E55</f>
        <v>57243.095999999998</v>
      </c>
      <c r="E37" s="44"/>
      <c r="F37" s="44">
        <f>WORKSHEET!G55</f>
        <v>61000</v>
      </c>
      <c r="G37" s="44">
        <f>WORKSHEET!H55</f>
        <v>46331.29</v>
      </c>
      <c r="H37" s="44">
        <f>WORKSHEET!I55</f>
        <v>65604.73</v>
      </c>
      <c r="I37" s="87">
        <f>WORKSHEET!J55</f>
        <v>64000</v>
      </c>
      <c r="J37" s="87">
        <f>WORKSHEET!K55</f>
        <v>74000</v>
      </c>
      <c r="K37" s="78">
        <f t="shared" si="3"/>
        <v>10000</v>
      </c>
    </row>
    <row r="38" spans="1:11" x14ac:dyDescent="0.25">
      <c r="A38" s="7" t="s">
        <v>100</v>
      </c>
      <c r="B38" s="44"/>
      <c r="D38" s="44"/>
      <c r="E38" s="44"/>
      <c r="F38" s="44"/>
      <c r="G38" s="44">
        <f>WORKSHEET!H56</f>
        <v>31434.03</v>
      </c>
      <c r="H38" s="44">
        <f>WORKSHEET!I56</f>
        <v>0</v>
      </c>
      <c r="I38" s="87">
        <f>WORKSHEET!J56</f>
        <v>0</v>
      </c>
      <c r="J38" s="87">
        <f>WORKSHEET!K56</f>
        <v>0</v>
      </c>
      <c r="K38" s="78">
        <f t="shared" si="3"/>
        <v>0</v>
      </c>
    </row>
    <row r="39" spans="1:11" x14ac:dyDescent="0.25">
      <c r="A39" s="7" t="s">
        <v>112</v>
      </c>
      <c r="B39" s="44"/>
      <c r="D39" s="44"/>
      <c r="E39" s="44"/>
      <c r="F39" s="44"/>
      <c r="G39" s="44"/>
      <c r="H39" s="44">
        <f>WORKSHEET!I57</f>
        <v>7846</v>
      </c>
      <c r="I39" s="87">
        <f>WORKSHEET!J57</f>
        <v>0</v>
      </c>
      <c r="J39" s="87">
        <f>WORKSHEET!K57</f>
        <v>0</v>
      </c>
      <c r="K39" s="78">
        <f t="shared" si="3"/>
        <v>0</v>
      </c>
    </row>
    <row r="40" spans="1:11" x14ac:dyDescent="0.25">
      <c r="A40" s="7" t="s">
        <v>17</v>
      </c>
      <c r="B40" s="44">
        <f>WORKSHEET!C58</f>
        <v>6014.56</v>
      </c>
      <c r="D40" s="44">
        <f>WORKSHEET!E58</f>
        <v>5728.04</v>
      </c>
      <c r="E40" s="44"/>
      <c r="F40" s="44">
        <f>WORKSHEET!G58</f>
        <v>6000</v>
      </c>
      <c r="G40" s="44">
        <f>WORKSHEET!H58</f>
        <v>4207.1000000000004</v>
      </c>
      <c r="H40" s="44">
        <f>WORKSHEET!I58+WORKSHEET!I59</f>
        <v>9494.9699999999993</v>
      </c>
      <c r="I40" s="87">
        <f>WORKSHEET!J58</f>
        <v>8000</v>
      </c>
      <c r="J40" s="87">
        <f>WORKSHEET!K58</f>
        <v>8000</v>
      </c>
      <c r="K40" s="78">
        <f t="shared" si="3"/>
        <v>0</v>
      </c>
    </row>
    <row r="41" spans="1:11" x14ac:dyDescent="0.25">
      <c r="A41" s="7" t="s">
        <v>97</v>
      </c>
      <c r="B41" s="44"/>
      <c r="C41" s="44"/>
      <c r="D41" s="44">
        <f>WORKSHEET!E61</f>
        <v>0</v>
      </c>
      <c r="E41" s="44">
        <f>WORKSHEET!F61</f>
        <v>0</v>
      </c>
      <c r="F41" s="44">
        <f>WORKSHEET!G61</f>
        <v>0</v>
      </c>
      <c r="G41" s="44">
        <f>WORKSHEET!H61</f>
        <v>997.75</v>
      </c>
      <c r="H41" s="44">
        <f>WORKSHEET!I61</f>
        <v>42.97</v>
      </c>
      <c r="I41" s="87">
        <f>WORKSHEET!J61+WORKSHEET!J59</f>
        <v>600</v>
      </c>
      <c r="J41" s="87">
        <f>WORKSHEET!K61+WORKSHEET!K59</f>
        <v>600</v>
      </c>
      <c r="K41" s="78">
        <f t="shared" si="3"/>
        <v>0</v>
      </c>
    </row>
    <row r="42" spans="1:11" x14ac:dyDescent="0.25">
      <c r="A42" s="7" t="s">
        <v>20</v>
      </c>
      <c r="B42" s="44">
        <f>WORKSHEET!C60</f>
        <v>9550.51</v>
      </c>
      <c r="D42" s="44">
        <f>WORKSHEET!E60</f>
        <v>8112.82</v>
      </c>
      <c r="E42" s="44"/>
      <c r="F42" s="44">
        <f>WORKSHEET!G60</f>
        <v>0</v>
      </c>
      <c r="G42" s="44">
        <f>WORKSHEET!H60</f>
        <v>11641.92</v>
      </c>
      <c r="H42" s="44">
        <f>WORKSHEET!I60</f>
        <v>11118.23</v>
      </c>
      <c r="I42" s="87">
        <f>WORKSHEET!J60</f>
        <v>13500</v>
      </c>
      <c r="J42" s="87">
        <f>WORKSHEET!K60</f>
        <v>13500</v>
      </c>
      <c r="K42" s="78">
        <f t="shared" si="3"/>
        <v>0</v>
      </c>
    </row>
    <row r="43" spans="1:11" x14ac:dyDescent="0.25">
      <c r="A43" s="7" t="s">
        <v>18</v>
      </c>
      <c r="B43" s="44">
        <f>WORKSHEET!C62</f>
        <v>225</v>
      </c>
      <c r="D43" s="44">
        <f>WORKSHEET!E62</f>
        <v>241</v>
      </c>
      <c r="E43" s="44"/>
      <c r="F43" s="44">
        <f>WORKSHEET!G62</f>
        <v>250</v>
      </c>
      <c r="G43" s="44">
        <f>WORKSHEET!H62</f>
        <v>2514.89</v>
      </c>
      <c r="H43" s="44">
        <f>WORKSHEET!I62</f>
        <v>2809.54</v>
      </c>
      <c r="I43" s="87">
        <f>WORKSHEET!J62</f>
        <v>2810</v>
      </c>
      <c r="J43" s="87">
        <f>WORKSHEET!K62</f>
        <v>3301.7</v>
      </c>
      <c r="K43" s="78">
        <f t="shared" si="3"/>
        <v>491.69999999999982</v>
      </c>
    </row>
    <row r="44" spans="1:11" x14ac:dyDescent="0.25">
      <c r="A44" s="7" t="s">
        <v>98</v>
      </c>
      <c r="B44" s="44">
        <f>WORKSHEET!C63</f>
        <v>0</v>
      </c>
      <c r="D44" s="44">
        <f>WORKSHEET!E63</f>
        <v>0</v>
      </c>
      <c r="E44" s="44"/>
      <c r="F44" s="44">
        <f>WORKSHEET!G63</f>
        <v>0</v>
      </c>
      <c r="G44" s="44">
        <f>WORKSHEET!H63</f>
        <v>256.44</v>
      </c>
      <c r="H44" s="44">
        <f>WORKSHEET!I63</f>
        <v>521.53</v>
      </c>
      <c r="I44" s="87">
        <f>WORKSHEET!J63</f>
        <v>575</v>
      </c>
      <c r="J44" s="87">
        <f>WORKSHEET!K63</f>
        <v>575</v>
      </c>
      <c r="K44" s="78">
        <f t="shared" si="3"/>
        <v>0</v>
      </c>
    </row>
    <row r="45" spans="1:11" ht="16.5" customHeight="1" x14ac:dyDescent="0.25">
      <c r="A45" s="7" t="s">
        <v>19</v>
      </c>
      <c r="B45" s="44">
        <f>WORKSHEET!C64</f>
        <v>2914.73</v>
      </c>
      <c r="D45" s="44">
        <f>WORKSHEET!E64</f>
        <v>306.98</v>
      </c>
      <c r="E45" s="44"/>
      <c r="F45" s="44">
        <f>WORKSHEET!G64</f>
        <v>420</v>
      </c>
      <c r="G45" s="44">
        <f>WORKSHEET!H64</f>
        <v>198.95</v>
      </c>
      <c r="H45" s="44">
        <f>WORKSHEET!I64</f>
        <v>97.89</v>
      </c>
      <c r="I45" s="87">
        <f>WORKSHEET!J64</f>
        <v>200</v>
      </c>
      <c r="J45" s="87">
        <f>WORKSHEET!K64</f>
        <v>200</v>
      </c>
      <c r="K45" s="78">
        <f t="shared" si="3"/>
        <v>0</v>
      </c>
    </row>
    <row r="46" spans="1:11" x14ac:dyDescent="0.25">
      <c r="A46" s="7" t="s">
        <v>101</v>
      </c>
      <c r="B46" s="57"/>
      <c r="C46" s="16"/>
      <c r="D46" s="81"/>
      <c r="E46" s="81"/>
      <c r="F46" s="81"/>
      <c r="G46" s="81">
        <f>WORKSHEET!H65</f>
        <v>0</v>
      </c>
      <c r="H46" s="81">
        <f>WORKSHEET!I65</f>
        <v>0</v>
      </c>
      <c r="I46" s="81">
        <f>WORKSHEET!J65</f>
        <v>0</v>
      </c>
      <c r="J46" s="81">
        <f>WORKSHEET!K65</f>
        <v>0</v>
      </c>
      <c r="K46" s="78">
        <f t="shared" si="3"/>
        <v>0</v>
      </c>
    </row>
    <row r="47" spans="1:11" x14ac:dyDescent="0.25">
      <c r="A47" s="7" t="s">
        <v>106</v>
      </c>
      <c r="B47" s="57"/>
      <c r="C47" s="16"/>
      <c r="D47" s="81"/>
      <c r="E47" s="81"/>
      <c r="F47" s="81"/>
      <c r="G47" s="81"/>
      <c r="H47" s="81">
        <f>WORKSHEET!I66</f>
        <v>622.5</v>
      </c>
      <c r="I47" s="81">
        <f>WORKSHEET!J66</f>
        <v>0</v>
      </c>
      <c r="J47" s="81">
        <f>WORKSHEET!K66</f>
        <v>0</v>
      </c>
      <c r="K47" s="78">
        <f t="shared" si="3"/>
        <v>0</v>
      </c>
    </row>
    <row r="48" spans="1:11" x14ac:dyDescent="0.25">
      <c r="A48" s="7" t="s">
        <v>102</v>
      </c>
      <c r="B48" s="57"/>
      <c r="C48" s="16"/>
      <c r="D48" s="81"/>
      <c r="E48" s="81"/>
      <c r="F48" s="81"/>
      <c r="G48" s="81">
        <f>WORKSHEET!H67</f>
        <v>804.18</v>
      </c>
      <c r="H48" s="81">
        <f>WORKSHEET!I67</f>
        <v>0</v>
      </c>
      <c r="I48" s="81">
        <f>WORKSHEET!J67</f>
        <v>0</v>
      </c>
      <c r="J48" s="81">
        <f>WORKSHEET!K67</f>
        <v>0</v>
      </c>
      <c r="K48" s="78">
        <f t="shared" si="3"/>
        <v>0</v>
      </c>
    </row>
    <row r="49" spans="1:14" x14ac:dyDescent="0.25">
      <c r="A49" s="7" t="s">
        <v>103</v>
      </c>
      <c r="B49" s="57"/>
      <c r="C49" s="16"/>
      <c r="D49" s="81"/>
      <c r="E49" s="81"/>
      <c r="F49" s="81"/>
      <c r="G49" s="81">
        <f>WORKSHEET!H68</f>
        <v>322.86</v>
      </c>
      <c r="H49" s="81">
        <f>WORKSHEET!I68</f>
        <v>0</v>
      </c>
      <c r="I49" s="81">
        <f>WORKSHEET!J68</f>
        <v>0</v>
      </c>
      <c r="J49" s="81">
        <f>WORKSHEET!K68</f>
        <v>0</v>
      </c>
      <c r="K49" s="78">
        <f t="shared" si="3"/>
        <v>0</v>
      </c>
      <c r="N49" s="78"/>
    </row>
    <row r="50" spans="1:14" x14ac:dyDescent="0.25">
      <c r="A50" s="7" t="s">
        <v>104</v>
      </c>
      <c r="B50" s="57"/>
      <c r="C50" s="16"/>
      <c r="D50" s="81"/>
      <c r="E50" s="81"/>
      <c r="F50" s="81"/>
      <c r="G50" s="81">
        <f>WORKSHEET!H69</f>
        <v>60.3</v>
      </c>
      <c r="H50" s="81">
        <f>WORKSHEET!I69</f>
        <v>0</v>
      </c>
      <c r="I50" s="81">
        <f>WORKSHEET!J69</f>
        <v>0</v>
      </c>
      <c r="J50" s="81">
        <f>WORKSHEET!K69</f>
        <v>0</v>
      </c>
      <c r="K50" s="78">
        <f t="shared" si="3"/>
        <v>0</v>
      </c>
    </row>
    <row r="51" spans="1:14" x14ac:dyDescent="0.25">
      <c r="A51" s="7" t="s">
        <v>133</v>
      </c>
      <c r="B51" s="57"/>
      <c r="C51" s="16"/>
      <c r="D51" s="81"/>
      <c r="E51" s="81"/>
      <c r="F51" s="81"/>
      <c r="G51" s="81"/>
      <c r="H51" s="81"/>
      <c r="I51" s="81"/>
      <c r="J51" s="81">
        <f>WORKSHEET!K70</f>
        <v>10500</v>
      </c>
      <c r="K51" s="78">
        <f t="shared" si="3"/>
        <v>10500</v>
      </c>
    </row>
    <row r="52" spans="1:14" x14ac:dyDescent="0.25">
      <c r="A52" s="7" t="s">
        <v>134</v>
      </c>
      <c r="B52" s="57"/>
      <c r="C52" s="16"/>
      <c r="D52" s="81"/>
      <c r="E52" s="81"/>
      <c r="F52" s="81"/>
      <c r="G52" s="81"/>
      <c r="H52" s="81"/>
      <c r="I52" s="81"/>
      <c r="J52" s="81">
        <f>WORKSHEET!K71</f>
        <v>4549</v>
      </c>
      <c r="K52" s="78">
        <f t="shared" si="3"/>
        <v>4549</v>
      </c>
    </row>
    <row r="53" spans="1:14" x14ac:dyDescent="0.25">
      <c r="A53" s="7" t="s">
        <v>133</v>
      </c>
      <c r="B53" s="57"/>
      <c r="C53" s="16"/>
      <c r="D53" s="81"/>
      <c r="E53" s="81"/>
      <c r="F53" s="81"/>
      <c r="G53" s="81"/>
      <c r="H53" s="81"/>
      <c r="I53" s="81"/>
      <c r="J53" s="81">
        <f>WORKSHEET!K72</f>
        <v>799</v>
      </c>
      <c r="K53" s="78">
        <f t="shared" si="3"/>
        <v>799</v>
      </c>
    </row>
    <row r="54" spans="1:14" x14ac:dyDescent="0.25">
      <c r="A54" s="7" t="s">
        <v>141</v>
      </c>
      <c r="B54" s="57"/>
      <c r="C54" s="16"/>
      <c r="D54" s="81"/>
      <c r="E54" s="81"/>
      <c r="F54" s="81"/>
      <c r="G54" s="81"/>
      <c r="H54" s="81"/>
      <c r="I54" s="81"/>
      <c r="J54" s="81">
        <v>40000</v>
      </c>
      <c r="K54" s="78">
        <f t="shared" si="3"/>
        <v>40000</v>
      </c>
    </row>
    <row r="55" spans="1:14" x14ac:dyDescent="0.25">
      <c r="A55" s="7" t="s">
        <v>21</v>
      </c>
      <c r="B55" s="57"/>
      <c r="C55" s="16"/>
      <c r="D55" s="81"/>
      <c r="E55" s="81"/>
      <c r="F55" s="81"/>
      <c r="G55" s="81"/>
      <c r="H55" s="81"/>
      <c r="I55" s="81"/>
      <c r="J55" s="81">
        <f>WORKSHEET!K74</f>
        <v>846.44</v>
      </c>
      <c r="K55" s="78">
        <f t="shared" si="3"/>
        <v>846.44</v>
      </c>
    </row>
    <row r="56" spans="1:14" x14ac:dyDescent="0.25">
      <c r="A56" s="7"/>
      <c r="B56" s="44"/>
      <c r="D56" s="44"/>
      <c r="E56" s="44"/>
      <c r="F56" s="44"/>
      <c r="G56" s="44"/>
      <c r="H56" s="44"/>
      <c r="I56" s="87"/>
      <c r="J56" s="81">
        <f>WORKSHEET!K75</f>
        <v>-846.44</v>
      </c>
      <c r="K56" s="78">
        <f t="shared" si="3"/>
        <v>-846.44</v>
      </c>
    </row>
    <row r="57" spans="1:14" x14ac:dyDescent="0.25">
      <c r="A57" s="1"/>
      <c r="B57" s="44"/>
      <c r="D57" s="44"/>
      <c r="E57" s="44"/>
      <c r="F57" s="44"/>
      <c r="G57" s="44"/>
      <c r="H57" s="44"/>
      <c r="I57" s="87"/>
      <c r="J57" s="87"/>
    </row>
    <row r="58" spans="1:14" x14ac:dyDescent="0.25">
      <c r="A58" s="10" t="s">
        <v>22</v>
      </c>
      <c r="B58" s="11">
        <f>SUM(B25:B57)</f>
        <v>192452.23</v>
      </c>
      <c r="D58" s="79">
        <f t="shared" ref="D58:H58" si="4">SUM(D24:D57)</f>
        <v>173922.76600000003</v>
      </c>
      <c r="E58" s="79">
        <f t="shared" si="4"/>
        <v>0</v>
      </c>
      <c r="F58" s="79">
        <f t="shared" si="4"/>
        <v>174117.2</v>
      </c>
      <c r="G58" s="79">
        <f t="shared" si="4"/>
        <v>205130.63</v>
      </c>
      <c r="H58" s="79">
        <f t="shared" si="4"/>
        <v>236906.81000000003</v>
      </c>
      <c r="I58" s="79">
        <f>SUM(I24:I57)</f>
        <v>258689.0393</v>
      </c>
      <c r="J58" s="79">
        <f>SUM(J24:J57)</f>
        <v>325891.5</v>
      </c>
      <c r="K58" s="79">
        <f>SUM(K24:K57)</f>
        <v>67202.460699999996</v>
      </c>
      <c r="M58" s="78"/>
    </row>
    <row r="59" spans="1:14" x14ac:dyDescent="0.25">
      <c r="A59" s="1"/>
      <c r="B59" s="8"/>
      <c r="D59" s="81"/>
      <c r="E59" s="81"/>
      <c r="F59" s="81"/>
      <c r="G59" s="81"/>
      <c r="H59" s="81"/>
      <c r="I59" s="81"/>
      <c r="J59" s="81"/>
      <c r="K59" s="81"/>
    </row>
    <row r="60" spans="1:14" ht="16.5" thickBot="1" x14ac:dyDescent="0.3">
      <c r="A60" s="6" t="s">
        <v>23</v>
      </c>
      <c r="B60" s="14">
        <f>B7+B20-B58</f>
        <v>9759.25</v>
      </c>
      <c r="D60" s="76">
        <f>D7+D20-D58</f>
        <v>19399.394</v>
      </c>
      <c r="E60" s="82"/>
      <c r="F60" s="76">
        <f t="shared" ref="F60:K60" si="5">F7+F20-F58</f>
        <v>13119.339999999997</v>
      </c>
      <c r="G60" s="76">
        <f t="shared" si="5"/>
        <v>60880.814000000013</v>
      </c>
      <c r="H60" s="76">
        <f t="shared" si="5"/>
        <v>26428.323999999993</v>
      </c>
      <c r="I60" s="76">
        <f t="shared" si="5"/>
        <v>3534.960699999996</v>
      </c>
      <c r="J60" s="76">
        <f t="shared" ref="J60" si="6">J7+J20-J58</f>
        <v>12114.11400000006</v>
      </c>
      <c r="K60" s="76">
        <f t="shared" si="5"/>
        <v>8579.1533000000054</v>
      </c>
      <c r="M60" s="78"/>
    </row>
    <row r="61" spans="1:14" ht="16.5" thickTop="1" x14ac:dyDescent="0.25"/>
    <row r="80" spans="2:2" x14ac:dyDescent="0.25">
      <c r="B80" s="56"/>
    </row>
  </sheetData>
  <mergeCells count="3">
    <mergeCell ref="A1:K1"/>
    <mergeCell ref="A3:K3"/>
    <mergeCell ref="A2:K2"/>
  </mergeCells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5"/>
  <sheetViews>
    <sheetView zoomScaleNormal="100" workbookViewId="0">
      <pane xSplit="2" ySplit="6" topLeftCell="E76" activePane="bottomRight" state="frozen"/>
      <selection activeCell="B66" sqref="B66"/>
      <selection pane="topRight" activeCell="B66" sqref="B66"/>
      <selection pane="bottomLeft" activeCell="B66" sqref="B66"/>
      <selection pane="bottomRight" activeCell="K69" sqref="K69"/>
    </sheetView>
  </sheetViews>
  <sheetFormatPr defaultRowHeight="15.75" x14ac:dyDescent="0.25"/>
  <cols>
    <col min="1" max="1" width="13.42578125" style="2" bestFit="1" customWidth="1"/>
    <col min="2" max="2" width="34.140625" style="2" bestFit="1" customWidth="1"/>
    <col min="3" max="3" width="15.5703125" style="2" hidden="1" customWidth="1"/>
    <col min="4" max="4" width="3.140625" style="2" hidden="1" customWidth="1"/>
    <col min="5" max="5" width="16.42578125" style="70" customWidth="1"/>
    <col min="6" max="6" width="1.7109375" style="70" customWidth="1"/>
    <col min="7" max="7" width="16.28515625" style="70" hidden="1" customWidth="1"/>
    <col min="8" max="9" width="16.28515625" style="70" customWidth="1"/>
    <col min="10" max="10" width="14.85546875" style="70" customWidth="1"/>
    <col min="11" max="11" width="16.28515625" style="70" customWidth="1"/>
    <col min="12" max="12" width="16.5703125" style="77" bestFit="1" customWidth="1"/>
    <col min="13" max="13" width="88.85546875" style="2" bestFit="1" customWidth="1"/>
    <col min="14" max="16384" width="9.140625" style="2"/>
  </cols>
  <sheetData>
    <row r="1" spans="1:13" x14ac:dyDescent="0.25">
      <c r="B1" s="147" t="str">
        <f>SUMMARY!A1</f>
        <v>LITCHFIELD COMMUNITY SCHOOLS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</row>
    <row r="2" spans="1:13" x14ac:dyDescent="0.25">
      <c r="B2" s="147" t="str">
        <f>SUMMARY!A3</f>
        <v>BUDGET 2021-2022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"/>
    </row>
    <row r="3" spans="1:13" x14ac:dyDescent="0.25">
      <c r="B3" s="149" t="str">
        <f>SUMMARY!A4</f>
        <v>AMENDED 4/26/2022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"/>
    </row>
    <row r="4" spans="1:13" x14ac:dyDescent="0.25">
      <c r="B4" s="3"/>
      <c r="C4" s="3"/>
      <c r="D4" s="3"/>
      <c r="E4" s="63"/>
      <c r="F4" s="63"/>
      <c r="G4" s="63"/>
      <c r="H4" s="63"/>
      <c r="I4" s="63"/>
      <c r="J4" s="63"/>
      <c r="K4" s="63"/>
      <c r="L4" s="71"/>
      <c r="M4" s="1"/>
    </row>
    <row r="5" spans="1:13" ht="63" x14ac:dyDescent="0.25">
      <c r="B5" s="1"/>
      <c r="C5" s="61" t="str">
        <f>SUMMARY!B6</f>
        <v>2017-2018 Actual Revenue and Expenses</v>
      </c>
      <c r="D5" s="1"/>
      <c r="E5" s="64" t="str">
        <f>SUMMARY!D6</f>
        <v>2018-2019 Actual Revenue and Expenses</v>
      </c>
      <c r="F5" s="110"/>
      <c r="G5" s="64" t="str">
        <f>SUMMARY!F6</f>
        <v>2019-2020 BUDGET</v>
      </c>
      <c r="H5" s="64" t="str">
        <f>SUMMARY!G6</f>
        <v>2019-2020 Actual Revenue and Expenses</v>
      </c>
      <c r="I5" s="64" t="str">
        <f>SUMMARY!H6</f>
        <v>2020-2021 Actual Revenue and Expenses</v>
      </c>
      <c r="J5" s="64" t="str">
        <f>SUMMARY!I6</f>
        <v>Approved 2021-2022 Budget</v>
      </c>
      <c r="K5" s="64" t="str">
        <f>SUMMARY!J6</f>
        <v>Ammended in Progress 2021-2022 Budget</v>
      </c>
      <c r="L5" s="72" t="s">
        <v>53</v>
      </c>
      <c r="M5" s="1"/>
    </row>
    <row r="6" spans="1:13" x14ac:dyDescent="0.25">
      <c r="B6" s="1"/>
      <c r="C6" s="5"/>
      <c r="D6" s="1"/>
      <c r="E6" s="65"/>
      <c r="F6" s="65"/>
      <c r="G6" s="65"/>
      <c r="H6" s="65"/>
      <c r="I6" s="65"/>
      <c r="J6" s="65"/>
      <c r="K6" s="65"/>
      <c r="L6" s="73"/>
      <c r="M6" s="1"/>
    </row>
    <row r="7" spans="1:13" x14ac:dyDescent="0.25">
      <c r="B7" s="6" t="s">
        <v>0</v>
      </c>
      <c r="C7" s="86">
        <v>9443</v>
      </c>
      <c r="D7" s="74"/>
      <c r="E7" s="65">
        <f>C79</f>
        <v>9759.25</v>
      </c>
      <c r="F7" s="65"/>
      <c r="G7" s="65">
        <v>11597</v>
      </c>
      <c r="H7" s="65">
        <f>E79</f>
        <v>19399.394</v>
      </c>
      <c r="I7" s="65">
        <f>H79</f>
        <v>60880.814000000013</v>
      </c>
      <c r="J7" s="65">
        <v>7524</v>
      </c>
      <c r="K7" s="65">
        <f>I79</f>
        <v>26428.323999999935</v>
      </c>
      <c r="L7" s="73">
        <f>K7-J7</f>
        <v>18904.323999999935</v>
      </c>
      <c r="M7" s="12"/>
    </row>
    <row r="8" spans="1:13" x14ac:dyDescent="0.25">
      <c r="B8" s="1"/>
      <c r="C8" s="5"/>
      <c r="D8" s="1"/>
      <c r="E8" s="65"/>
      <c r="F8" s="65"/>
      <c r="G8" s="65"/>
      <c r="H8" s="65"/>
      <c r="I8" s="65"/>
      <c r="J8" s="65"/>
      <c r="K8" s="65"/>
      <c r="L8" s="73"/>
      <c r="M8" s="1"/>
    </row>
    <row r="9" spans="1:13" x14ac:dyDescent="0.25">
      <c r="B9" s="6" t="s">
        <v>1</v>
      </c>
      <c r="C9" s="1"/>
      <c r="D9" s="1"/>
      <c r="E9" s="65"/>
      <c r="F9" s="65"/>
      <c r="G9" s="65"/>
      <c r="H9" s="65"/>
      <c r="I9" s="65"/>
      <c r="J9" s="65"/>
      <c r="K9" s="65"/>
      <c r="L9" s="74"/>
      <c r="M9" s="1"/>
    </row>
    <row r="10" spans="1:13" x14ac:dyDescent="0.25">
      <c r="B10" s="6"/>
      <c r="C10" s="1"/>
      <c r="D10" s="1"/>
      <c r="E10" s="65"/>
      <c r="F10" s="65"/>
      <c r="G10" s="65"/>
      <c r="H10" s="65"/>
      <c r="I10" s="65"/>
      <c r="J10" s="65"/>
      <c r="K10" s="65"/>
      <c r="L10" s="74"/>
      <c r="M10" s="1"/>
    </row>
    <row r="11" spans="1:13" x14ac:dyDescent="0.25">
      <c r="B11" s="6"/>
      <c r="C11" s="1"/>
      <c r="D11" s="1"/>
      <c r="E11" s="65"/>
      <c r="F11" s="65"/>
      <c r="G11" s="65"/>
      <c r="H11" s="65"/>
      <c r="I11" s="65"/>
      <c r="J11" s="65"/>
      <c r="K11" s="65"/>
      <c r="L11" s="74"/>
      <c r="M11" s="1"/>
    </row>
    <row r="12" spans="1:13" x14ac:dyDescent="0.25">
      <c r="B12" s="7"/>
      <c r="C12" s="16"/>
      <c r="D12" s="16"/>
      <c r="E12" s="74"/>
      <c r="F12" s="74"/>
      <c r="G12" s="74"/>
      <c r="H12" s="74"/>
      <c r="I12" s="74"/>
      <c r="J12" s="74"/>
      <c r="K12" s="74"/>
      <c r="L12" s="73"/>
    </row>
    <row r="13" spans="1:13" x14ac:dyDescent="0.25">
      <c r="A13" s="122" t="s">
        <v>81</v>
      </c>
      <c r="B13" s="7" t="s">
        <v>60</v>
      </c>
      <c r="C13" s="16">
        <f>19205.17</f>
        <v>19205.169999999998</v>
      </c>
      <c r="D13" s="16"/>
      <c r="E13" s="74">
        <v>18731.18</v>
      </c>
      <c r="F13" s="74"/>
      <c r="G13" s="74">
        <v>18000</v>
      </c>
      <c r="H13" s="74">
        <v>0</v>
      </c>
      <c r="I13" s="74">
        <v>0</v>
      </c>
      <c r="J13" s="74">
        <v>0</v>
      </c>
      <c r="K13" s="74">
        <v>0</v>
      </c>
      <c r="L13" s="73">
        <f t="shared" ref="L13:L36" si="0">K13-J13</f>
        <v>0</v>
      </c>
      <c r="M13" s="1"/>
    </row>
    <row r="14" spans="1:13" x14ac:dyDescent="0.25">
      <c r="A14" s="122" t="s">
        <v>80</v>
      </c>
      <c r="B14" s="7" t="s">
        <v>61</v>
      </c>
      <c r="C14" s="16">
        <f>5512.25</f>
        <v>5512.25</v>
      </c>
      <c r="D14" s="16"/>
      <c r="E14" s="74">
        <v>5152.8999999999996</v>
      </c>
      <c r="F14" s="74"/>
      <c r="G14" s="74">
        <v>5000</v>
      </c>
      <c r="H14" s="74">
        <v>4266.3500000000004</v>
      </c>
      <c r="I14" s="74">
        <v>1247.18</v>
      </c>
      <c r="J14" s="74">
        <v>3000</v>
      </c>
      <c r="K14" s="74">
        <v>3000</v>
      </c>
      <c r="L14" s="73">
        <f t="shared" si="0"/>
        <v>0</v>
      </c>
      <c r="M14" s="1"/>
    </row>
    <row r="15" spans="1:13" x14ac:dyDescent="0.25">
      <c r="A15" s="122" t="s">
        <v>85</v>
      </c>
      <c r="B15" s="7" t="s">
        <v>77</v>
      </c>
      <c r="C15" s="16">
        <v>3083.2</v>
      </c>
      <c r="D15" s="16"/>
      <c r="E15" s="74">
        <v>2994</v>
      </c>
      <c r="F15" s="74"/>
      <c r="G15" s="74">
        <v>3000</v>
      </c>
      <c r="H15" s="74">
        <v>1116.71</v>
      </c>
      <c r="I15" s="74">
        <v>317.2</v>
      </c>
      <c r="J15" s="74">
        <v>500</v>
      </c>
      <c r="K15" s="74">
        <v>500</v>
      </c>
      <c r="L15" s="73">
        <f t="shared" si="0"/>
        <v>0</v>
      </c>
      <c r="M15" s="1"/>
    </row>
    <row r="16" spans="1:13" x14ac:dyDescent="0.25">
      <c r="A16" s="122" t="s">
        <v>89</v>
      </c>
      <c r="B16" s="7" t="s">
        <v>62</v>
      </c>
      <c r="C16" s="16">
        <v>7289.75</v>
      </c>
      <c r="D16" s="16"/>
      <c r="E16" s="74">
        <v>6707.27</v>
      </c>
      <c r="F16" s="74"/>
      <c r="G16" s="74">
        <v>7000</v>
      </c>
      <c r="H16" s="74">
        <v>3483.53</v>
      </c>
      <c r="I16" s="74">
        <v>494.87</v>
      </c>
      <c r="J16" s="74">
        <v>1000</v>
      </c>
      <c r="K16" s="74">
        <v>1000</v>
      </c>
      <c r="L16" s="73">
        <f t="shared" si="0"/>
        <v>0</v>
      </c>
      <c r="M16" s="1"/>
    </row>
    <row r="17" spans="1:16" x14ac:dyDescent="0.25">
      <c r="B17" s="7" t="s">
        <v>69</v>
      </c>
      <c r="C17" s="16"/>
      <c r="D17" s="16"/>
      <c r="E17" s="74"/>
      <c r="F17" s="74"/>
      <c r="G17" s="74"/>
      <c r="H17" s="74"/>
      <c r="I17" s="74">
        <v>0</v>
      </c>
      <c r="J17" s="74"/>
      <c r="K17" s="74"/>
      <c r="L17" s="73">
        <f t="shared" si="0"/>
        <v>0</v>
      </c>
      <c r="M17" s="1"/>
    </row>
    <row r="18" spans="1:16" x14ac:dyDescent="0.25">
      <c r="A18" s="122" t="s">
        <v>86</v>
      </c>
      <c r="B18" s="7" t="s">
        <v>63</v>
      </c>
      <c r="C18" s="16">
        <v>10232.42</v>
      </c>
      <c r="D18" s="16"/>
      <c r="E18" s="74">
        <v>1401.58</v>
      </c>
      <c r="F18" s="74"/>
      <c r="G18" s="106">
        <f>H18-F18</f>
        <v>389.54</v>
      </c>
      <c r="H18" s="74">
        <v>389.54</v>
      </c>
      <c r="I18" s="74">
        <v>575.82000000000005</v>
      </c>
      <c r="J18" s="74">
        <v>400</v>
      </c>
      <c r="K18" s="74">
        <v>400</v>
      </c>
      <c r="L18" s="73">
        <f t="shared" si="0"/>
        <v>0</v>
      </c>
      <c r="M18" s="1"/>
    </row>
    <row r="19" spans="1:16" x14ac:dyDescent="0.25">
      <c r="A19" s="122" t="s">
        <v>113</v>
      </c>
      <c r="B19" s="7" t="s">
        <v>114</v>
      </c>
      <c r="C19" s="16"/>
      <c r="D19" s="16"/>
      <c r="E19" s="74"/>
      <c r="F19" s="74"/>
      <c r="G19" s="106"/>
      <c r="H19" s="74"/>
      <c r="I19" s="74">
        <v>864.4</v>
      </c>
      <c r="J19" s="65"/>
      <c r="K19" s="65"/>
      <c r="L19" s="73">
        <f t="shared" si="0"/>
        <v>0</v>
      </c>
      <c r="M19" s="1"/>
    </row>
    <row r="20" spans="1:16" x14ac:dyDescent="0.25">
      <c r="A20" s="122" t="s">
        <v>87</v>
      </c>
      <c r="B20" s="7" t="s">
        <v>64</v>
      </c>
      <c r="C20" s="57">
        <v>278.3</v>
      </c>
      <c r="D20" s="16"/>
      <c r="E20" s="81">
        <v>1163.06</v>
      </c>
      <c r="F20" s="81"/>
      <c r="G20" s="81">
        <v>0</v>
      </c>
      <c r="H20" s="81">
        <v>-1492.92</v>
      </c>
      <c r="I20" s="81">
        <v>513.9</v>
      </c>
      <c r="J20" s="81">
        <v>0</v>
      </c>
      <c r="K20" s="81">
        <v>0</v>
      </c>
      <c r="L20" s="73">
        <f t="shared" si="0"/>
        <v>0</v>
      </c>
      <c r="M20" s="1"/>
    </row>
    <row r="21" spans="1:16" x14ac:dyDescent="0.25">
      <c r="A21" s="122" t="s">
        <v>82</v>
      </c>
      <c r="B21" s="7" t="s">
        <v>67</v>
      </c>
      <c r="C21" s="57">
        <v>7192.62</v>
      </c>
      <c r="D21" s="16"/>
      <c r="E21" s="81">
        <v>9047.8700000000008</v>
      </c>
      <c r="F21" s="81"/>
      <c r="G21" s="81">
        <v>8500</v>
      </c>
      <c r="H21" s="81">
        <v>7554.95</v>
      </c>
      <c r="I21" s="81">
        <v>8068.85</v>
      </c>
      <c r="J21" s="81">
        <v>8500</v>
      </c>
      <c r="K21" s="81">
        <v>8068.85</v>
      </c>
      <c r="L21" s="73">
        <f t="shared" si="0"/>
        <v>-431.14999999999964</v>
      </c>
      <c r="M21" s="1"/>
    </row>
    <row r="22" spans="1:16" x14ac:dyDescent="0.25">
      <c r="A22" s="122" t="s">
        <v>120</v>
      </c>
      <c r="B22" s="7" t="s">
        <v>121</v>
      </c>
      <c r="C22" s="57"/>
      <c r="D22" s="16"/>
      <c r="E22" s="81"/>
      <c r="F22" s="81"/>
      <c r="G22" s="81"/>
      <c r="H22" s="81"/>
      <c r="I22" s="81">
        <v>422.19</v>
      </c>
      <c r="J22" s="81"/>
      <c r="K22" s="81"/>
      <c r="L22" s="73">
        <f t="shared" si="0"/>
        <v>0</v>
      </c>
      <c r="M22" s="1"/>
    </row>
    <row r="23" spans="1:16" x14ac:dyDescent="0.25">
      <c r="A23" s="122">
        <v>25414485</v>
      </c>
      <c r="B23" s="7" t="s">
        <v>132</v>
      </c>
      <c r="C23" s="57"/>
      <c r="D23" s="16"/>
      <c r="E23" s="81"/>
      <c r="F23" s="81"/>
      <c r="G23" s="81"/>
      <c r="H23" s="81"/>
      <c r="I23" s="81"/>
      <c r="J23" s="81"/>
      <c r="K23" s="130">
        <v>16694.439999999999</v>
      </c>
      <c r="L23" s="73">
        <f t="shared" si="0"/>
        <v>16694.439999999999</v>
      </c>
      <c r="M23" s="1"/>
    </row>
    <row r="24" spans="1:16" x14ac:dyDescent="0.25">
      <c r="A24" s="122"/>
      <c r="B24" s="7" t="s">
        <v>141</v>
      </c>
      <c r="C24" s="57"/>
      <c r="D24" s="16"/>
      <c r="E24" s="81"/>
      <c r="F24" s="81"/>
      <c r="G24" s="81"/>
      <c r="H24" s="81"/>
      <c r="I24" s="81"/>
      <c r="J24" s="81"/>
      <c r="K24" s="81">
        <v>40000</v>
      </c>
      <c r="L24" s="73">
        <f t="shared" si="0"/>
        <v>40000</v>
      </c>
      <c r="M24" s="1"/>
    </row>
    <row r="25" spans="1:16" x14ac:dyDescent="0.25">
      <c r="A25" s="122" t="s">
        <v>129</v>
      </c>
      <c r="B25" s="7" t="s">
        <v>130</v>
      </c>
      <c r="C25" s="57"/>
      <c r="D25" s="16"/>
      <c r="E25" s="81"/>
      <c r="F25" s="81"/>
      <c r="G25" s="81"/>
      <c r="H25" s="81"/>
      <c r="I25" s="81">
        <v>-6224.52</v>
      </c>
      <c r="J25" s="81"/>
      <c r="K25" s="81"/>
      <c r="L25" s="73">
        <f t="shared" si="0"/>
        <v>0</v>
      </c>
      <c r="M25" s="1"/>
    </row>
    <row r="26" spans="1:16" x14ac:dyDescent="0.25">
      <c r="A26" s="122" t="s">
        <v>83</v>
      </c>
      <c r="B26" s="7" t="s">
        <v>66</v>
      </c>
      <c r="C26" s="57">
        <v>34200.269999999997</v>
      </c>
      <c r="D26" s="16"/>
      <c r="E26" s="81">
        <v>33898.57</v>
      </c>
      <c r="F26" s="81"/>
      <c r="G26" s="81">
        <v>33600</v>
      </c>
      <c r="H26" s="81">
        <v>44499.67</v>
      </c>
      <c r="I26" s="81">
        <v>58444.160000000003</v>
      </c>
      <c r="J26" s="68">
        <v>70000</v>
      </c>
      <c r="K26" s="130">
        <v>70000</v>
      </c>
      <c r="L26" s="73">
        <f t="shared" si="0"/>
        <v>0</v>
      </c>
      <c r="M26" s="1"/>
    </row>
    <row r="27" spans="1:16" x14ac:dyDescent="0.25">
      <c r="A27" s="122" t="s">
        <v>84</v>
      </c>
      <c r="B27" s="7" t="s">
        <v>65</v>
      </c>
      <c r="C27" s="57">
        <v>70791.7</v>
      </c>
      <c r="D27" s="16"/>
      <c r="E27" s="81">
        <v>75733.66</v>
      </c>
      <c r="F27" s="81"/>
      <c r="G27" s="81">
        <v>74730</v>
      </c>
      <c r="H27" s="81">
        <v>99734.74</v>
      </c>
      <c r="I27" s="81">
        <v>95913.54</v>
      </c>
      <c r="J27" s="81">
        <v>120000</v>
      </c>
      <c r="K27" s="130">
        <v>120000</v>
      </c>
      <c r="L27" s="73">
        <f t="shared" si="0"/>
        <v>0</v>
      </c>
      <c r="M27" s="1"/>
    </row>
    <row r="28" spans="1:16" x14ac:dyDescent="0.25">
      <c r="A28" s="122" t="s">
        <v>105</v>
      </c>
      <c r="B28" s="7" t="s">
        <v>99</v>
      </c>
      <c r="C28" s="16"/>
      <c r="D28" s="58"/>
      <c r="E28" s="74"/>
      <c r="F28" s="81"/>
      <c r="G28" s="81"/>
      <c r="H28" s="81">
        <v>73597.56</v>
      </c>
      <c r="I28" s="81">
        <v>622.5</v>
      </c>
      <c r="J28" s="81">
        <v>0</v>
      </c>
      <c r="K28" s="81">
        <v>0</v>
      </c>
      <c r="L28" s="73">
        <f t="shared" si="0"/>
        <v>0</v>
      </c>
      <c r="M28" s="81"/>
      <c r="N28" s="81"/>
      <c r="O28" s="73"/>
      <c r="P28" s="1"/>
    </row>
    <row r="29" spans="1:16" x14ac:dyDescent="0.25">
      <c r="A29" s="122" t="s">
        <v>107</v>
      </c>
      <c r="B29" s="7" t="s">
        <v>108</v>
      </c>
      <c r="C29" s="16"/>
      <c r="D29" s="58"/>
      <c r="E29" s="74"/>
      <c r="F29" s="81"/>
      <c r="G29" s="81"/>
      <c r="H29" s="81"/>
      <c r="I29" s="81"/>
      <c r="J29" s="81">
        <v>0</v>
      </c>
      <c r="K29" s="81">
        <v>0</v>
      </c>
      <c r="L29" s="73">
        <f t="shared" si="0"/>
        <v>0</v>
      </c>
      <c r="M29" s="81"/>
      <c r="N29" s="81"/>
      <c r="O29" s="73"/>
      <c r="P29" s="1"/>
    </row>
    <row r="30" spans="1:16" x14ac:dyDescent="0.25">
      <c r="A30" s="122" t="s">
        <v>111</v>
      </c>
      <c r="B30" s="7" t="s">
        <v>110</v>
      </c>
      <c r="C30" s="16"/>
      <c r="D30" s="58"/>
      <c r="E30" s="74"/>
      <c r="F30" s="81"/>
      <c r="G30" s="81"/>
      <c r="H30" s="81"/>
      <c r="I30" s="81">
        <v>7846</v>
      </c>
      <c r="J30" s="68">
        <v>0</v>
      </c>
      <c r="K30" s="68">
        <v>0</v>
      </c>
      <c r="L30" s="73">
        <f t="shared" si="0"/>
        <v>0</v>
      </c>
      <c r="M30" s="81"/>
      <c r="N30" s="81"/>
      <c r="O30" s="73"/>
      <c r="P30" s="1"/>
    </row>
    <row r="31" spans="1:16" x14ac:dyDescent="0.25">
      <c r="A31" s="122" t="s">
        <v>88</v>
      </c>
      <c r="B31" s="7" t="s">
        <v>5</v>
      </c>
      <c r="C31" s="57">
        <v>9550.51</v>
      </c>
      <c r="D31" s="16"/>
      <c r="E31" s="81">
        <v>8112.82</v>
      </c>
      <c r="F31" s="81"/>
      <c r="G31" s="81"/>
      <c r="H31" s="81">
        <v>11641.92</v>
      </c>
      <c r="I31" s="81">
        <v>10629.33</v>
      </c>
      <c r="J31" s="81">
        <v>13500</v>
      </c>
      <c r="K31" s="81">
        <v>13500</v>
      </c>
      <c r="L31" s="73">
        <f t="shared" si="0"/>
        <v>0</v>
      </c>
      <c r="M31" s="1"/>
    </row>
    <row r="32" spans="1:16" x14ac:dyDescent="0.25">
      <c r="A32" s="122" t="s">
        <v>131</v>
      </c>
      <c r="B32" s="2" t="s">
        <v>150</v>
      </c>
      <c r="C32" s="57"/>
      <c r="D32" s="16"/>
      <c r="E32" s="81"/>
      <c r="F32" s="81"/>
      <c r="G32" s="81"/>
      <c r="H32" s="81"/>
      <c r="I32" s="81">
        <v>488.9</v>
      </c>
      <c r="J32" s="81"/>
      <c r="K32" s="81"/>
      <c r="L32" s="73">
        <f t="shared" si="0"/>
        <v>0</v>
      </c>
      <c r="M32" s="1"/>
    </row>
    <row r="33" spans="1:13" x14ac:dyDescent="0.25">
      <c r="A33" s="122" t="s">
        <v>143</v>
      </c>
      <c r="B33" s="7" t="s">
        <v>144</v>
      </c>
      <c r="C33" s="57"/>
      <c r="D33" s="16"/>
      <c r="E33" s="81"/>
      <c r="F33" s="81"/>
      <c r="G33" s="81"/>
      <c r="H33" s="81"/>
      <c r="I33" s="81"/>
      <c r="J33" s="81"/>
      <c r="K33" s="81">
        <v>614</v>
      </c>
      <c r="L33" s="106">
        <f t="shared" si="0"/>
        <v>614</v>
      </c>
      <c r="M33" s="1"/>
    </row>
    <row r="34" spans="1:13" x14ac:dyDescent="0.25">
      <c r="A34" s="122" t="s">
        <v>90</v>
      </c>
      <c r="B34" s="7" t="s">
        <v>91</v>
      </c>
      <c r="C34" s="57"/>
      <c r="D34" s="16"/>
      <c r="E34" s="81">
        <v>1620</v>
      </c>
      <c r="F34" s="81"/>
      <c r="G34" s="81">
        <v>1420</v>
      </c>
      <c r="H34" s="81">
        <v>1820</v>
      </c>
      <c r="I34" s="81">
        <v>2230</v>
      </c>
      <c r="J34" s="81">
        <v>2800</v>
      </c>
      <c r="K34" s="81">
        <v>2800</v>
      </c>
      <c r="L34" s="73">
        <f t="shared" si="0"/>
        <v>0</v>
      </c>
      <c r="M34" s="1"/>
    </row>
    <row r="35" spans="1:13" x14ac:dyDescent="0.25">
      <c r="A35" s="131">
        <v>91125</v>
      </c>
      <c r="B35" s="7" t="s">
        <v>6</v>
      </c>
      <c r="C35" s="57">
        <v>25432.29</v>
      </c>
      <c r="D35" s="16"/>
      <c r="E35" s="81">
        <v>19000</v>
      </c>
      <c r="F35" s="81"/>
      <c r="G35" s="81">
        <v>24000</v>
      </c>
      <c r="H35" s="81">
        <v>0</v>
      </c>
      <c r="I35" s="81">
        <v>20000</v>
      </c>
      <c r="J35" s="81">
        <v>35000</v>
      </c>
      <c r="K35" s="81">
        <v>35000</v>
      </c>
      <c r="L35" s="73">
        <f t="shared" si="0"/>
        <v>0</v>
      </c>
      <c r="M35" s="1"/>
    </row>
    <row r="36" spans="1:13" x14ac:dyDescent="0.25">
      <c r="A36" s="122"/>
      <c r="B36" s="7"/>
      <c r="C36" s="57">
        <v>0</v>
      </c>
      <c r="D36" s="16"/>
      <c r="E36" s="81"/>
      <c r="F36" s="81"/>
      <c r="G36" s="81"/>
      <c r="H36" s="81"/>
      <c r="I36" s="81"/>
      <c r="J36" s="81"/>
      <c r="K36" s="81"/>
      <c r="L36" s="73">
        <f t="shared" si="0"/>
        <v>0</v>
      </c>
      <c r="M36" s="1"/>
    </row>
    <row r="37" spans="1:13" x14ac:dyDescent="0.25">
      <c r="B37" s="1"/>
      <c r="C37" s="57"/>
      <c r="D37" s="16"/>
      <c r="E37" s="65"/>
      <c r="F37" s="65"/>
      <c r="G37" s="65"/>
      <c r="H37" s="65"/>
      <c r="I37" s="65"/>
      <c r="J37" s="65"/>
      <c r="K37" s="65"/>
      <c r="L37" s="73"/>
      <c r="M37" s="1"/>
    </row>
    <row r="38" spans="1:13" x14ac:dyDescent="0.25">
      <c r="B38" s="10" t="s">
        <v>7</v>
      </c>
      <c r="C38" s="59">
        <f>SUM(C12:C37)</f>
        <v>192768.48</v>
      </c>
      <c r="D38" s="16"/>
      <c r="E38" s="66">
        <f>SUM(E12:E37)</f>
        <v>183562.91000000003</v>
      </c>
      <c r="F38" s="111"/>
      <c r="G38" s="66">
        <f t="shared" ref="G38:L38" si="1">SUM(G12:G37)</f>
        <v>175639.54</v>
      </c>
      <c r="H38" s="66">
        <f t="shared" si="1"/>
        <v>246612.05000000002</v>
      </c>
      <c r="I38" s="66">
        <f t="shared" si="1"/>
        <v>202454.31999999998</v>
      </c>
      <c r="J38" s="66">
        <f t="shared" si="1"/>
        <v>254700</v>
      </c>
      <c r="K38" s="66">
        <f t="shared" si="1"/>
        <v>311577.29000000004</v>
      </c>
      <c r="L38" s="66">
        <f t="shared" si="1"/>
        <v>56877.29</v>
      </c>
      <c r="M38" s="74"/>
    </row>
    <row r="39" spans="1:13" x14ac:dyDescent="0.25">
      <c r="B39" s="1"/>
      <c r="C39" s="16"/>
      <c r="D39" s="16"/>
      <c r="E39" s="65"/>
      <c r="F39" s="65"/>
      <c r="G39" s="65"/>
      <c r="H39" s="65"/>
      <c r="I39" s="65"/>
      <c r="J39" s="65"/>
      <c r="K39" s="65"/>
      <c r="L39" s="75"/>
      <c r="M39" s="1"/>
    </row>
    <row r="40" spans="1:13" x14ac:dyDescent="0.25">
      <c r="B40" s="6" t="s">
        <v>8</v>
      </c>
      <c r="C40" s="16"/>
      <c r="D40" s="16"/>
      <c r="E40" s="65"/>
      <c r="F40" s="65"/>
      <c r="G40" s="65"/>
      <c r="H40" s="65"/>
      <c r="I40" s="65"/>
      <c r="J40" s="65"/>
      <c r="K40" s="65"/>
      <c r="L40" s="75"/>
      <c r="M40" s="1"/>
    </row>
    <row r="41" spans="1:13" x14ac:dyDescent="0.25">
      <c r="B41" s="6"/>
      <c r="C41" s="16"/>
      <c r="D41" s="16"/>
      <c r="E41" s="65"/>
      <c r="F41" s="65"/>
      <c r="G41" s="65"/>
      <c r="H41" s="65"/>
      <c r="I41" s="65"/>
      <c r="J41" s="65"/>
      <c r="K41" s="65"/>
      <c r="L41" s="75"/>
      <c r="M41" s="1"/>
    </row>
    <row r="42" spans="1:13" x14ac:dyDescent="0.25">
      <c r="B42" s="7" t="s">
        <v>119</v>
      </c>
      <c r="J42" s="70">
        <v>24046</v>
      </c>
      <c r="K42" s="70">
        <f>22500+7500</f>
        <v>30000</v>
      </c>
      <c r="L42" s="73">
        <f t="shared" ref="L42:L75" si="2">K42-J42</f>
        <v>5954</v>
      </c>
    </row>
    <row r="43" spans="1:13" x14ac:dyDescent="0.25">
      <c r="A43" s="2">
        <v>80011</v>
      </c>
      <c r="B43" s="7" t="s">
        <v>9</v>
      </c>
      <c r="C43" s="65">
        <v>58372.06</v>
      </c>
      <c r="D43" s="60"/>
      <c r="E43" s="113">
        <v>52326.04</v>
      </c>
      <c r="F43" s="113"/>
      <c r="G43" s="113">
        <v>53500</v>
      </c>
      <c r="H43" s="113">
        <f>3165.18+41317.24+178.96+4422.79</f>
        <v>49084.17</v>
      </c>
      <c r="I43" s="127">
        <f>8544.66+2.85+64958.39+12.36</f>
        <v>73518.259999999995</v>
      </c>
      <c r="J43" s="127">
        <v>51705</v>
      </c>
      <c r="K43" s="127">
        <v>45000</v>
      </c>
      <c r="L43" s="73">
        <f t="shared" si="2"/>
        <v>-6705</v>
      </c>
      <c r="M43" s="1"/>
    </row>
    <row r="44" spans="1:13" x14ac:dyDescent="0.25">
      <c r="A44" s="2">
        <v>80016</v>
      </c>
      <c r="B44" s="7" t="s">
        <v>116</v>
      </c>
      <c r="C44" s="65"/>
      <c r="D44" s="60"/>
      <c r="E44" s="113"/>
      <c r="F44" s="113"/>
      <c r="G44" s="113"/>
      <c r="H44" s="113"/>
      <c r="I44" s="127">
        <v>398.18</v>
      </c>
      <c r="J44" s="132">
        <v>0</v>
      </c>
      <c r="K44" s="132">
        <v>0</v>
      </c>
      <c r="L44" s="73">
        <f t="shared" si="2"/>
        <v>0</v>
      </c>
      <c r="M44" s="1"/>
    </row>
    <row r="45" spans="1:13" x14ac:dyDescent="0.25">
      <c r="A45" s="2">
        <v>80013</v>
      </c>
      <c r="B45" s="7" t="s">
        <v>12</v>
      </c>
      <c r="C45" s="65">
        <v>132</v>
      </c>
      <c r="D45" s="60"/>
      <c r="E45" s="113">
        <v>11.09</v>
      </c>
      <c r="F45" s="113"/>
      <c r="G45" s="113"/>
      <c r="H45" s="113">
        <v>9175.4599999999991</v>
      </c>
      <c r="I45" s="127">
        <v>1125.07</v>
      </c>
      <c r="J45" s="127">
        <v>1000</v>
      </c>
      <c r="K45" s="127">
        <v>1000</v>
      </c>
      <c r="L45" s="73">
        <f t="shared" si="2"/>
        <v>0</v>
      </c>
      <c r="M45" s="9"/>
    </row>
    <row r="46" spans="1:13" x14ac:dyDescent="0.25">
      <c r="A46" s="2">
        <v>80066</v>
      </c>
      <c r="B46" s="7" t="s">
        <v>118</v>
      </c>
      <c r="C46" s="65"/>
      <c r="D46" s="60"/>
      <c r="E46" s="113"/>
      <c r="F46" s="113"/>
      <c r="G46" s="113"/>
      <c r="H46" s="113"/>
      <c r="I46" s="127"/>
      <c r="J46" s="127">
        <v>21750</v>
      </c>
      <c r="K46" s="127">
        <v>21750</v>
      </c>
      <c r="L46" s="73">
        <f t="shared" si="2"/>
        <v>0</v>
      </c>
      <c r="M46" s="9"/>
    </row>
    <row r="47" spans="1:13" x14ac:dyDescent="0.25">
      <c r="A47" s="2">
        <v>80022</v>
      </c>
      <c r="B47" s="7" t="s">
        <v>11</v>
      </c>
      <c r="C47" s="65">
        <v>24115.05</v>
      </c>
      <c r="D47" s="60"/>
      <c r="E47" s="113">
        <v>20630</v>
      </c>
      <c r="F47" s="113"/>
      <c r="G47" s="123">
        <f>(G43+G45)*0.3937</f>
        <v>21062.95</v>
      </c>
      <c r="H47" s="123">
        <f>1049.96+14512.39+1209.66+72.2+1798.86</f>
        <v>18643.07</v>
      </c>
      <c r="I47" s="128">
        <f>3683.76+1.27+177.08+22322.87+5.5</f>
        <v>26190.48</v>
      </c>
      <c r="J47" s="128">
        <f>(J43+J45+J44+J42)*J85+600</f>
        <v>34201.587800000001</v>
      </c>
      <c r="K47" s="128">
        <f>(K43+K45+K44+K42)*K85+600</f>
        <v>33872.800000000003</v>
      </c>
      <c r="L47" s="73">
        <f t="shared" si="2"/>
        <v>-328.78779999999824</v>
      </c>
      <c r="M47" s="1"/>
    </row>
    <row r="48" spans="1:13" x14ac:dyDescent="0.25">
      <c r="A48" s="2">
        <v>80023</v>
      </c>
      <c r="B48" s="7" t="s">
        <v>10</v>
      </c>
      <c r="C48" s="65">
        <v>4405.82</v>
      </c>
      <c r="D48" s="60"/>
      <c r="E48" s="113">
        <v>3938.86</v>
      </c>
      <c r="F48" s="113"/>
      <c r="G48" s="123">
        <f>(G43+G45)*0.0765+61.5</f>
        <v>4154.25</v>
      </c>
      <c r="H48" s="123">
        <f>234.88+3092.9+701.82+13.36+331.33</f>
        <v>4374.2900000000009</v>
      </c>
      <c r="I48" s="128">
        <f>640.59+0.22+30.46+4899.95+86.06+0.95</f>
        <v>5658.2300000000005</v>
      </c>
      <c r="J48" s="128">
        <f>(J43+J45+J44+J42)*J84</f>
        <v>5871.4515000000001</v>
      </c>
      <c r="K48" s="128">
        <f>(K43+K45+K44+K42)*K84</f>
        <v>5814</v>
      </c>
      <c r="L48" s="73">
        <f t="shared" si="2"/>
        <v>-57.451500000000124</v>
      </c>
      <c r="M48" s="1"/>
    </row>
    <row r="49" spans="1:13" x14ac:dyDescent="0.25">
      <c r="A49" s="2">
        <v>80039</v>
      </c>
      <c r="B49" s="7" t="s">
        <v>78</v>
      </c>
      <c r="C49" s="65">
        <v>725</v>
      </c>
      <c r="D49" s="60"/>
      <c r="E49" s="113">
        <v>767.45</v>
      </c>
      <c r="F49" s="113"/>
      <c r="G49" s="113">
        <v>800</v>
      </c>
      <c r="H49" s="113">
        <v>0</v>
      </c>
      <c r="I49" s="127"/>
      <c r="J49" s="127">
        <v>0</v>
      </c>
      <c r="K49" s="127">
        <v>0</v>
      </c>
      <c r="L49" s="73">
        <f t="shared" si="2"/>
        <v>0</v>
      </c>
      <c r="M49" s="9"/>
    </row>
    <row r="50" spans="1:13" x14ac:dyDescent="0.25">
      <c r="A50" s="2">
        <v>80046</v>
      </c>
      <c r="B50" s="7" t="s">
        <v>13</v>
      </c>
      <c r="C50" s="65">
        <v>0</v>
      </c>
      <c r="D50" s="60"/>
      <c r="E50" s="106">
        <v>0</v>
      </c>
      <c r="F50" s="106"/>
      <c r="G50" s="124">
        <v>530</v>
      </c>
      <c r="H50" s="124">
        <v>988.65</v>
      </c>
      <c r="I50" s="129">
        <v>324.83999999999997</v>
      </c>
      <c r="J50" s="129">
        <v>330</v>
      </c>
      <c r="K50" s="129">
        <v>330</v>
      </c>
      <c r="L50" s="73">
        <f t="shared" si="2"/>
        <v>0</v>
      </c>
      <c r="M50" s="9"/>
    </row>
    <row r="51" spans="1:13" x14ac:dyDescent="0.25">
      <c r="A51" s="2">
        <v>80024</v>
      </c>
      <c r="B51" s="7" t="s">
        <v>59</v>
      </c>
      <c r="C51" s="65">
        <v>75</v>
      </c>
      <c r="D51" s="60"/>
      <c r="E51" s="113"/>
      <c r="F51" s="113"/>
      <c r="G51" s="113"/>
      <c r="H51" s="113">
        <v>0</v>
      </c>
      <c r="I51" s="127">
        <f>65+410</f>
        <v>475</v>
      </c>
      <c r="J51" s="127">
        <v>400</v>
      </c>
      <c r="K51" s="127">
        <v>400</v>
      </c>
      <c r="L51" s="73">
        <f t="shared" si="2"/>
        <v>0</v>
      </c>
      <c r="M51" s="1"/>
    </row>
    <row r="52" spans="1:13" x14ac:dyDescent="0.25">
      <c r="A52" s="2">
        <v>80032</v>
      </c>
      <c r="B52" s="7" t="s">
        <v>14</v>
      </c>
      <c r="C52" s="65">
        <v>95.57</v>
      </c>
      <c r="D52" s="45"/>
      <c r="E52" s="68">
        <v>378.32</v>
      </c>
      <c r="F52" s="68"/>
      <c r="G52" s="68">
        <v>400</v>
      </c>
      <c r="H52" s="68">
        <v>0</v>
      </c>
      <c r="I52" s="68"/>
      <c r="J52" s="68">
        <v>0</v>
      </c>
      <c r="K52" s="68">
        <v>0</v>
      </c>
      <c r="L52" s="73">
        <f t="shared" si="2"/>
        <v>0</v>
      </c>
      <c r="M52" s="1"/>
    </row>
    <row r="53" spans="1:13" x14ac:dyDescent="0.25">
      <c r="A53" s="2">
        <v>80033</v>
      </c>
      <c r="B53" s="7" t="s">
        <v>79</v>
      </c>
      <c r="C53" s="77">
        <v>2285</v>
      </c>
      <c r="D53" s="45"/>
      <c r="E53" s="68">
        <v>130</v>
      </c>
      <c r="F53" s="68"/>
      <c r="G53" s="68">
        <v>500</v>
      </c>
      <c r="H53" s="68">
        <f>426.93+267.33</f>
        <v>694.26</v>
      </c>
      <c r="I53" s="130"/>
      <c r="J53" s="130">
        <v>700</v>
      </c>
      <c r="K53" s="130">
        <v>700</v>
      </c>
      <c r="L53" s="73">
        <f t="shared" si="2"/>
        <v>0</v>
      </c>
      <c r="M53" s="55"/>
    </row>
    <row r="54" spans="1:13" x14ac:dyDescent="0.25">
      <c r="A54" s="2">
        <v>80037</v>
      </c>
      <c r="B54" s="7" t="s">
        <v>15</v>
      </c>
      <c r="C54" s="65">
        <v>20173.939999999999</v>
      </c>
      <c r="D54" s="45"/>
      <c r="E54" s="68">
        <v>24109.07</v>
      </c>
      <c r="F54" s="68"/>
      <c r="G54" s="68">
        <v>25500</v>
      </c>
      <c r="H54" s="68">
        <v>23401.02</v>
      </c>
      <c r="I54" s="68">
        <v>31058.39</v>
      </c>
      <c r="J54" s="68">
        <v>29000</v>
      </c>
      <c r="K54" s="68">
        <v>31000</v>
      </c>
      <c r="L54" s="73">
        <f t="shared" si="2"/>
        <v>2000</v>
      </c>
      <c r="M54" s="1"/>
    </row>
    <row r="55" spans="1:13" x14ac:dyDescent="0.25">
      <c r="A55" s="2">
        <v>80041</v>
      </c>
      <c r="B55" s="7" t="s">
        <v>16</v>
      </c>
      <c r="C55" s="65">
        <v>63367.99</v>
      </c>
      <c r="D55" s="45"/>
      <c r="E55" s="68">
        <v>57243.095999999998</v>
      </c>
      <c r="F55" s="68"/>
      <c r="G55" s="68">
        <v>61000</v>
      </c>
      <c r="H55" s="68">
        <v>46331.29</v>
      </c>
      <c r="I55" s="68">
        <v>65604.73</v>
      </c>
      <c r="J55" s="68">
        <v>64000</v>
      </c>
      <c r="K55" s="68">
        <v>74000</v>
      </c>
      <c r="L55" s="73">
        <f t="shared" si="2"/>
        <v>10000</v>
      </c>
      <c r="M55" s="1"/>
    </row>
    <row r="56" spans="1:13" x14ac:dyDescent="0.25">
      <c r="A56" s="2">
        <v>80040</v>
      </c>
      <c r="B56" s="7" t="s">
        <v>100</v>
      </c>
      <c r="C56" s="65"/>
      <c r="D56" s="45"/>
      <c r="E56" s="68"/>
      <c r="F56" s="68"/>
      <c r="G56" s="68"/>
      <c r="H56" s="68">
        <v>31434.03</v>
      </c>
      <c r="I56" s="68"/>
      <c r="J56" s="68">
        <v>0</v>
      </c>
      <c r="K56" s="68">
        <v>0</v>
      </c>
      <c r="L56" s="73">
        <f t="shared" si="2"/>
        <v>0</v>
      </c>
      <c r="M56" s="1"/>
    </row>
    <row r="57" spans="1:13" x14ac:dyDescent="0.25">
      <c r="A57" s="2">
        <v>80055</v>
      </c>
      <c r="B57" s="7" t="s">
        <v>112</v>
      </c>
      <c r="C57" s="65"/>
      <c r="D57" s="45"/>
      <c r="E57" s="68"/>
      <c r="F57" s="68"/>
      <c r="G57" s="68"/>
      <c r="H57" s="68"/>
      <c r="I57" s="68">
        <v>7846</v>
      </c>
      <c r="J57" s="68">
        <v>0</v>
      </c>
      <c r="K57" s="68">
        <v>0</v>
      </c>
      <c r="L57" s="73">
        <f t="shared" si="2"/>
        <v>0</v>
      </c>
      <c r="M57" s="1"/>
    </row>
    <row r="58" spans="1:13" x14ac:dyDescent="0.25">
      <c r="A58" s="2" t="s">
        <v>139</v>
      </c>
      <c r="B58" s="7" t="s">
        <v>17</v>
      </c>
      <c r="C58" s="65">
        <v>6014.56</v>
      </c>
      <c r="D58" s="45"/>
      <c r="E58" s="68">
        <v>5728.04</v>
      </c>
      <c r="F58" s="68"/>
      <c r="G58" s="68">
        <v>6000</v>
      </c>
      <c r="H58" s="68">
        <v>4207.1000000000004</v>
      </c>
      <c r="I58" s="130">
        <v>8630.57</v>
      </c>
      <c r="J58" s="130">
        <v>8000</v>
      </c>
      <c r="K58" s="130">
        <v>8000</v>
      </c>
      <c r="L58" s="73">
        <f t="shared" si="2"/>
        <v>0</v>
      </c>
      <c r="M58" s="9" t="s">
        <v>68</v>
      </c>
    </row>
    <row r="59" spans="1:13" x14ac:dyDescent="0.25">
      <c r="A59" s="2">
        <v>80054</v>
      </c>
      <c r="B59" s="7" t="s">
        <v>115</v>
      </c>
      <c r="C59" s="65"/>
      <c r="D59" s="45"/>
      <c r="E59" s="68"/>
      <c r="F59" s="68"/>
      <c r="G59" s="68"/>
      <c r="H59" s="68"/>
      <c r="I59" s="130">
        <v>864.4</v>
      </c>
      <c r="J59" s="130">
        <v>0</v>
      </c>
      <c r="K59" s="130">
        <v>0</v>
      </c>
      <c r="L59" s="73">
        <f t="shared" si="2"/>
        <v>0</v>
      </c>
      <c r="M59" s="9"/>
    </row>
    <row r="60" spans="1:13" x14ac:dyDescent="0.25">
      <c r="A60" s="2">
        <v>80043</v>
      </c>
      <c r="B60" s="7" t="s">
        <v>20</v>
      </c>
      <c r="C60" s="65">
        <v>9550.51</v>
      </c>
      <c r="D60" s="45"/>
      <c r="E60" s="68">
        <v>8112.82</v>
      </c>
      <c r="F60" s="68"/>
      <c r="G60" s="68"/>
      <c r="H60" s="81">
        <v>11641.92</v>
      </c>
      <c r="I60" s="81">
        <v>11118.23</v>
      </c>
      <c r="J60" s="81">
        <v>13500</v>
      </c>
      <c r="K60" s="81">
        <v>13500</v>
      </c>
      <c r="L60" s="73">
        <f t="shared" si="2"/>
        <v>0</v>
      </c>
      <c r="M60" s="1"/>
    </row>
    <row r="61" spans="1:13" x14ac:dyDescent="0.25">
      <c r="A61" s="2">
        <v>80051</v>
      </c>
      <c r="B61" s="7" t="s">
        <v>96</v>
      </c>
      <c r="C61" s="65"/>
      <c r="D61" s="45"/>
      <c r="E61" s="68"/>
      <c r="F61" s="68"/>
      <c r="G61" s="68"/>
      <c r="H61" s="81">
        <v>997.75</v>
      </c>
      <c r="I61" s="130">
        <f>21.48+21.49</f>
        <v>42.97</v>
      </c>
      <c r="J61" s="130">
        <v>600</v>
      </c>
      <c r="K61" s="130">
        <v>600</v>
      </c>
      <c r="L61" s="73">
        <f t="shared" si="2"/>
        <v>0</v>
      </c>
      <c r="M61" s="1"/>
    </row>
    <row r="62" spans="1:13" x14ac:dyDescent="0.25">
      <c r="A62" s="2" t="s">
        <v>140</v>
      </c>
      <c r="B62" s="7" t="s">
        <v>18</v>
      </c>
      <c r="C62" s="65">
        <v>225</v>
      </c>
      <c r="D62" s="45"/>
      <c r="E62" s="68">
        <v>241</v>
      </c>
      <c r="F62" s="68"/>
      <c r="G62" s="68">
        <v>250</v>
      </c>
      <c r="H62" s="68">
        <v>2514.89</v>
      </c>
      <c r="I62" s="130">
        <v>2809.54</v>
      </c>
      <c r="J62" s="130">
        <v>2810</v>
      </c>
      <c r="K62" s="130">
        <f>8.46+3293.24</f>
        <v>3301.7</v>
      </c>
      <c r="L62" s="73">
        <f t="shared" si="2"/>
        <v>491.69999999999982</v>
      </c>
      <c r="M62" s="9"/>
    </row>
    <row r="63" spans="1:13" x14ac:dyDescent="0.25">
      <c r="A63" s="2">
        <v>80061</v>
      </c>
      <c r="B63" s="7" t="s">
        <v>98</v>
      </c>
      <c r="C63" s="65"/>
      <c r="D63" s="45"/>
      <c r="E63" s="68"/>
      <c r="F63" s="68"/>
      <c r="G63" s="68"/>
      <c r="H63" s="68">
        <v>256.44</v>
      </c>
      <c r="I63" s="68">
        <v>521.53</v>
      </c>
      <c r="J63" s="68">
        <v>575</v>
      </c>
      <c r="K63" s="68">
        <v>575</v>
      </c>
      <c r="L63" s="73">
        <f t="shared" si="2"/>
        <v>0</v>
      </c>
      <c r="M63" s="9"/>
    </row>
    <row r="64" spans="1:13" x14ac:dyDescent="0.25">
      <c r="A64" s="2">
        <v>80099</v>
      </c>
      <c r="B64" s="7" t="s">
        <v>19</v>
      </c>
      <c r="C64" s="65">
        <v>2914.73</v>
      </c>
      <c r="D64" s="45"/>
      <c r="E64" s="68">
        <v>306.98</v>
      </c>
      <c r="F64" s="68"/>
      <c r="G64" s="68">
        <v>420</v>
      </c>
      <c r="H64" s="68">
        <f>50+148.95</f>
        <v>198.95</v>
      </c>
      <c r="I64" s="68">
        <v>97.89</v>
      </c>
      <c r="J64" s="68">
        <v>200</v>
      </c>
      <c r="K64" s="68">
        <v>200</v>
      </c>
      <c r="L64" s="73">
        <f t="shared" si="2"/>
        <v>0</v>
      </c>
      <c r="M64" s="9"/>
    </row>
    <row r="65" spans="1:13" x14ac:dyDescent="0.25">
      <c r="A65" s="122">
        <v>80047</v>
      </c>
      <c r="B65" s="7" t="s">
        <v>101</v>
      </c>
      <c r="C65" s="57"/>
      <c r="D65" s="16"/>
      <c r="E65" s="81"/>
      <c r="F65" s="81"/>
      <c r="G65" s="81"/>
      <c r="H65" s="81"/>
      <c r="I65" s="81"/>
      <c r="J65" s="81"/>
      <c r="K65" s="81"/>
      <c r="L65" s="73">
        <f t="shared" si="2"/>
        <v>0</v>
      </c>
      <c r="M65" s="1"/>
    </row>
    <row r="66" spans="1:13" x14ac:dyDescent="0.25">
      <c r="A66" s="122">
        <v>80053</v>
      </c>
      <c r="B66" s="7" t="s">
        <v>106</v>
      </c>
      <c r="C66" s="57"/>
      <c r="D66" s="16"/>
      <c r="E66" s="81"/>
      <c r="F66" s="81"/>
      <c r="G66" s="81"/>
      <c r="H66" s="81"/>
      <c r="I66" s="81">
        <v>622.5</v>
      </c>
      <c r="J66" s="81">
        <v>0</v>
      </c>
      <c r="K66" s="81">
        <v>0</v>
      </c>
      <c r="L66" s="73">
        <f t="shared" si="2"/>
        <v>0</v>
      </c>
      <c r="M66" s="1"/>
    </row>
    <row r="67" spans="1:13" x14ac:dyDescent="0.25">
      <c r="A67" s="122">
        <v>80048</v>
      </c>
      <c r="B67" s="7" t="s">
        <v>102</v>
      </c>
      <c r="C67" s="57"/>
      <c r="D67" s="16"/>
      <c r="E67" s="81"/>
      <c r="F67" s="81"/>
      <c r="G67" s="81"/>
      <c r="H67" s="81">
        <v>804.18</v>
      </c>
      <c r="I67" s="81"/>
      <c r="J67" s="81"/>
      <c r="K67" s="81"/>
      <c r="L67" s="73">
        <f t="shared" si="2"/>
        <v>0</v>
      </c>
      <c r="M67" s="1"/>
    </row>
    <row r="68" spans="1:13" x14ac:dyDescent="0.25">
      <c r="A68" s="122">
        <v>80049</v>
      </c>
      <c r="B68" s="7" t="s">
        <v>103</v>
      </c>
      <c r="C68" s="57"/>
      <c r="D68" s="16"/>
      <c r="E68" s="81"/>
      <c r="F68" s="81"/>
      <c r="G68" s="81"/>
      <c r="H68" s="81">
        <v>322.86</v>
      </c>
      <c r="I68" s="81"/>
      <c r="J68" s="81"/>
      <c r="K68" s="81"/>
      <c r="L68" s="73">
        <f t="shared" si="2"/>
        <v>0</v>
      </c>
      <c r="M68" s="1"/>
    </row>
    <row r="69" spans="1:13" x14ac:dyDescent="0.25">
      <c r="A69" s="122">
        <v>80050</v>
      </c>
      <c r="B69" s="7" t="s">
        <v>104</v>
      </c>
      <c r="C69" s="57"/>
      <c r="D69" s="16"/>
      <c r="E69" s="81"/>
      <c r="F69" s="81"/>
      <c r="G69" s="81"/>
      <c r="H69" s="81">
        <v>60.3</v>
      </c>
      <c r="I69" s="81"/>
      <c r="J69" s="81"/>
      <c r="K69" s="81"/>
      <c r="L69" s="73">
        <f t="shared" si="2"/>
        <v>0</v>
      </c>
      <c r="M69" s="1"/>
    </row>
    <row r="70" spans="1:13" x14ac:dyDescent="0.25">
      <c r="A70" s="122">
        <v>2971790</v>
      </c>
      <c r="B70" s="7" t="s">
        <v>133</v>
      </c>
      <c r="C70" s="57"/>
      <c r="D70" s="16"/>
      <c r="E70" s="81"/>
      <c r="F70" s="81"/>
      <c r="G70" s="81"/>
      <c r="H70" s="81"/>
      <c r="I70" s="81"/>
      <c r="J70" s="81"/>
      <c r="K70" s="81">
        <v>10500</v>
      </c>
      <c r="L70" s="73">
        <f t="shared" si="2"/>
        <v>10500</v>
      </c>
      <c r="M70" s="1"/>
    </row>
    <row r="71" spans="1:13" x14ac:dyDescent="0.25">
      <c r="A71" s="122">
        <v>2972820</v>
      </c>
      <c r="B71" s="7" t="s">
        <v>134</v>
      </c>
      <c r="C71" s="57"/>
      <c r="D71" s="16"/>
      <c r="E71" s="81"/>
      <c r="F71" s="81"/>
      <c r="G71" s="81"/>
      <c r="H71" s="81"/>
      <c r="I71" s="81"/>
      <c r="J71" s="81"/>
      <c r="K71" s="81">
        <v>4549</v>
      </c>
      <c r="L71" s="73">
        <f t="shared" si="2"/>
        <v>4549</v>
      </c>
      <c r="M71" s="1"/>
    </row>
    <row r="72" spans="1:13" x14ac:dyDescent="0.25">
      <c r="A72" s="122">
        <v>2972830</v>
      </c>
      <c r="B72" s="7" t="s">
        <v>151</v>
      </c>
      <c r="C72" s="57"/>
      <c r="D72" s="16"/>
      <c r="E72" s="81"/>
      <c r="F72" s="81"/>
      <c r="G72" s="81"/>
      <c r="H72" s="81"/>
      <c r="I72" s="81"/>
      <c r="J72" s="81"/>
      <c r="K72" s="81">
        <v>799</v>
      </c>
      <c r="L72" s="73">
        <f t="shared" si="2"/>
        <v>799</v>
      </c>
      <c r="M72" s="1"/>
    </row>
    <row r="73" spans="1:13" x14ac:dyDescent="0.25">
      <c r="A73" s="122"/>
      <c r="B73" s="7" t="s">
        <v>141</v>
      </c>
      <c r="C73" s="57"/>
      <c r="D73" s="16"/>
      <c r="E73" s="81"/>
      <c r="F73" s="81"/>
      <c r="G73" s="81"/>
      <c r="H73" s="81"/>
      <c r="I73" s="81"/>
      <c r="J73" s="81"/>
      <c r="K73" s="81">
        <v>40000</v>
      </c>
      <c r="L73" s="73">
        <f t="shared" si="2"/>
        <v>40000</v>
      </c>
      <c r="M73" s="1"/>
    </row>
    <row r="74" spans="1:13" x14ac:dyDescent="0.25">
      <c r="B74" s="7" t="s">
        <v>136</v>
      </c>
      <c r="C74" s="65"/>
      <c r="D74" s="45"/>
      <c r="E74" s="68"/>
      <c r="F74" s="68"/>
      <c r="G74" s="68"/>
      <c r="H74" s="68"/>
      <c r="I74" s="68"/>
      <c r="J74" s="68">
        <v>0</v>
      </c>
      <c r="K74" s="68">
        <v>846.44</v>
      </c>
      <c r="L74" s="73">
        <f t="shared" si="2"/>
        <v>846.44</v>
      </c>
      <c r="M74" s="133"/>
    </row>
    <row r="75" spans="1:13" x14ac:dyDescent="0.25">
      <c r="B75" s="7" t="s">
        <v>137</v>
      </c>
      <c r="C75" s="65"/>
      <c r="D75" s="45"/>
      <c r="E75" s="68"/>
      <c r="F75" s="68"/>
      <c r="G75" s="68"/>
      <c r="H75" s="68"/>
      <c r="I75" s="68"/>
      <c r="J75" s="68"/>
      <c r="K75" s="68">
        <f>-K74</f>
        <v>-846.44</v>
      </c>
      <c r="L75" s="73">
        <f t="shared" si="2"/>
        <v>-846.44</v>
      </c>
      <c r="M75" s="133"/>
    </row>
    <row r="76" spans="1:13" x14ac:dyDescent="0.25">
      <c r="B76" s="1"/>
      <c r="C76" s="57"/>
      <c r="D76" s="16"/>
      <c r="E76" s="65"/>
      <c r="F76" s="65"/>
      <c r="G76" s="65"/>
      <c r="H76" s="65"/>
      <c r="I76" s="65"/>
      <c r="J76" s="65"/>
      <c r="K76" s="65"/>
      <c r="L76" s="73"/>
      <c r="M76" s="134"/>
    </row>
    <row r="77" spans="1:13" x14ac:dyDescent="0.25">
      <c r="B77" s="10" t="s">
        <v>22</v>
      </c>
      <c r="C77" s="13">
        <f>SUM(C43:C76)</f>
        <v>192452.23</v>
      </c>
      <c r="D77" s="16"/>
      <c r="E77" s="67">
        <f t="shared" ref="E77:L77" si="3">SUM(E42:E76)</f>
        <v>173922.76600000003</v>
      </c>
      <c r="F77" s="67">
        <f t="shared" si="3"/>
        <v>0</v>
      </c>
      <c r="G77" s="67">
        <f t="shared" si="3"/>
        <v>174117.2</v>
      </c>
      <c r="H77" s="67">
        <f t="shared" si="3"/>
        <v>205130.63</v>
      </c>
      <c r="I77" s="67">
        <f t="shared" si="3"/>
        <v>236906.81000000003</v>
      </c>
      <c r="J77" s="67">
        <f>SUM(J42:J76)</f>
        <v>258689.0393</v>
      </c>
      <c r="K77" s="67">
        <f>SUM(K42:K76)</f>
        <v>325891.5</v>
      </c>
      <c r="L77" s="67">
        <f t="shared" si="3"/>
        <v>67202.460699999996</v>
      </c>
      <c r="M77" s="54"/>
    </row>
    <row r="78" spans="1:13" x14ac:dyDescent="0.25">
      <c r="B78" s="1"/>
      <c r="C78" s="16"/>
      <c r="D78" s="16"/>
      <c r="E78" s="68"/>
      <c r="F78" s="68"/>
      <c r="G78" s="68"/>
      <c r="H78" s="68"/>
      <c r="I78" s="68"/>
      <c r="J78" s="68"/>
      <c r="K78" s="68"/>
      <c r="L78" s="75"/>
      <c r="M78" s="16"/>
    </row>
    <row r="79" spans="1:13" s="77" customFormat="1" ht="16.5" thickBot="1" x14ac:dyDescent="0.3">
      <c r="B79" s="107" t="s">
        <v>23</v>
      </c>
      <c r="C79" s="76">
        <f>C7+C38-C77</f>
        <v>9759.25</v>
      </c>
      <c r="D79" s="74"/>
      <c r="E79" s="69">
        <f>E7+E38-E77</f>
        <v>19399.394</v>
      </c>
      <c r="F79" s="112"/>
      <c r="G79" s="69">
        <f t="shared" ref="G79:L79" si="4">G7+G38-G77</f>
        <v>13119.339999999997</v>
      </c>
      <c r="H79" s="69">
        <f t="shared" si="4"/>
        <v>60880.814000000013</v>
      </c>
      <c r="I79" s="69">
        <f t="shared" si="4"/>
        <v>26428.323999999935</v>
      </c>
      <c r="J79" s="69">
        <f t="shared" si="4"/>
        <v>3534.960699999996</v>
      </c>
      <c r="K79" s="69">
        <f t="shared" si="4"/>
        <v>12114.113999999943</v>
      </c>
      <c r="L79" s="69">
        <f t="shared" si="4"/>
        <v>8579.1532999999472</v>
      </c>
      <c r="M79" s="108"/>
    </row>
    <row r="80" spans="1:13" ht="16.5" thickTop="1" x14ac:dyDescent="0.25">
      <c r="C80" s="18"/>
      <c r="D80" s="18"/>
      <c r="M80" s="18"/>
    </row>
    <row r="81" spans="2:11" ht="16.5" thickBot="1" x14ac:dyDescent="0.3">
      <c r="B81" t="s">
        <v>73</v>
      </c>
      <c r="C81" s="119"/>
      <c r="D81" s="118"/>
      <c r="E81" s="119">
        <f>E77/12*3</f>
        <v>43480.691500000008</v>
      </c>
      <c r="G81" s="119">
        <f>G77/12*3</f>
        <v>43529.3</v>
      </c>
      <c r="H81" s="119">
        <f>H77/12*3</f>
        <v>51282.657500000001</v>
      </c>
      <c r="I81" s="119">
        <f>I77/12*3</f>
        <v>59226.702500000007</v>
      </c>
      <c r="J81" s="119">
        <f>J77/12*3</f>
        <v>64672.259825000001</v>
      </c>
      <c r="K81" s="119">
        <f>K77/12*3</f>
        <v>81472.875</v>
      </c>
    </row>
    <row r="82" spans="2:11" ht="16.5" thickTop="1" x14ac:dyDescent="0.25"/>
    <row r="83" spans="2:11" x14ac:dyDescent="0.25">
      <c r="C83" s="18">
        <f>192452.23-C77</f>
        <v>0</v>
      </c>
    </row>
    <row r="84" spans="2:11" x14ac:dyDescent="0.25">
      <c r="I84" s="125">
        <v>7.6499999999999999E-2</v>
      </c>
      <c r="J84" s="125">
        <v>7.6499999999999999E-2</v>
      </c>
      <c r="K84" s="125">
        <v>7.6499999999999999E-2</v>
      </c>
    </row>
    <row r="85" spans="2:11" x14ac:dyDescent="0.25">
      <c r="I85" s="125">
        <v>0.42720000000000002</v>
      </c>
      <c r="J85" s="125">
        <v>0.43780000000000002</v>
      </c>
      <c r="K85" s="125">
        <v>0.43780000000000002</v>
      </c>
    </row>
  </sheetData>
  <mergeCells count="3">
    <mergeCell ref="B1:L1"/>
    <mergeCell ref="B3:L3"/>
    <mergeCell ref="B2:L2"/>
  </mergeCells>
  <pageMargins left="0.7" right="0.7" top="0.75" bottom="0.75" header="0.3" footer="0.3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COVERSHEET</vt:lpstr>
      <vt:lpstr>RESOLUTION</vt:lpstr>
      <vt:lpstr>SUMMARY</vt:lpstr>
      <vt:lpstr>BUDGET</vt:lpstr>
      <vt:lpstr>WORKSHEET</vt:lpstr>
      <vt:lpstr>Sheet1</vt:lpstr>
      <vt:lpstr>COVERSHEET!Print_Area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2022-04-27T15:42:36Z</dcterms:modified>
</cp:coreProperties>
</file>